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C:\Users\gwen de jacquelot\Documents\BUREAU REG EDUCO\FUNDING OPPORTUNITIES 2019\MAY\EU_ Promotion et protection des droits de l'enfance\FINAL FULL PRECIE\"/>
    </mc:Choice>
  </mc:AlternateContent>
  <xr:revisionPtr revIDLastSave="0" documentId="13_ncr:1_{85FDA787-DF46-418B-A8F9-270FF3070B64}" xr6:coauthVersionLast="43" xr6:coauthVersionMax="43" xr10:uidLastSave="{00000000-0000-0000-0000-000000000000}"/>
  <bookViews>
    <workbookView xWindow="-108" yWindow="-108" windowWidth="23256" windowHeight="12576" activeTab="2" xr2:uid="{00000000-000D-0000-FFFF-FFFF00000000}"/>
  </bookViews>
  <sheets>
    <sheet name="1. Budget" sheetId="1" r:id="rId1"/>
    <sheet name="2. Justification" sheetId="3" r:id="rId2"/>
    <sheet name="3.  Sources de fin. attendues" sheetId="6" r:id="rId3"/>
  </sheets>
  <definedNames>
    <definedName name="_xlnm.Print_Titles" localSheetId="0">'1. Budget'!$1:$2</definedName>
    <definedName name="_xlnm.Print_Titles" localSheetId="1">'2. Justification'!$1:$3</definedName>
    <definedName name="Z_913EDF2B_D796_4451_9DB9_A902841B443B_.wvu.PrintArea" localSheetId="0" hidden="1">'1. Budget'!$A$1:$I$148</definedName>
    <definedName name="Z_F1BDF3DC_3A5A_4306_8C8E_CE2E405ED839_.wvu.PrintArea" localSheetId="0" hidden="1">'1. Budget'!$A$1:$I$148</definedName>
    <definedName name="_xlnm.Print_Area" localSheetId="0">'1. Budget'!$A$1:$I$151</definedName>
    <definedName name="_xlnm.Print_Area" localSheetId="2">'3.  Sources de fin. attendues'!$A$1:$D$40</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9" i="1" l="1"/>
  <c r="E129" i="1" s="1"/>
  <c r="C128" i="1"/>
  <c r="E128" i="1" s="1"/>
  <c r="D96" i="1"/>
  <c r="C27" i="1" l="1"/>
  <c r="C15" i="1"/>
  <c r="C14" i="1"/>
  <c r="C12" i="1"/>
  <c r="C11" i="1"/>
  <c r="C83" i="1" l="1"/>
  <c r="C82" i="1"/>
  <c r="C75" i="1"/>
  <c r="C74" i="1"/>
  <c r="C73" i="1"/>
  <c r="C71" i="1"/>
  <c r="C70" i="1"/>
  <c r="C67" i="1"/>
  <c r="C65" i="1"/>
  <c r="C64" i="1"/>
  <c r="C62" i="1"/>
  <c r="C61" i="1"/>
  <c r="C59" i="1"/>
  <c r="C58" i="1"/>
  <c r="C26" i="1"/>
  <c r="C25" i="1"/>
  <c r="C20" i="1"/>
  <c r="C19" i="1"/>
  <c r="C17" i="1"/>
  <c r="C13" i="1"/>
  <c r="C10" i="1"/>
  <c r="D13" i="1"/>
  <c r="D10" i="1"/>
  <c r="D9" i="1"/>
  <c r="C8" i="1"/>
  <c r="C6" i="1"/>
  <c r="C20" i="6" l="1"/>
  <c r="H140" i="1"/>
  <c r="H141" i="1"/>
  <c r="H142" i="1"/>
  <c r="H137" i="1"/>
  <c r="H136" i="1"/>
  <c r="H134" i="1"/>
  <c r="H133" i="1"/>
  <c r="G133" i="1"/>
  <c r="H132" i="1"/>
  <c r="H131" i="1"/>
  <c r="H126" i="1"/>
  <c r="H127" i="1"/>
  <c r="H128" i="1"/>
  <c r="H129" i="1"/>
  <c r="H130" i="1"/>
  <c r="H125" i="1"/>
  <c r="H124" i="1"/>
  <c r="H123" i="1"/>
  <c r="H122" i="1"/>
  <c r="G122" i="1"/>
  <c r="H121" i="1"/>
  <c r="G120" i="1"/>
  <c r="H120" i="1"/>
  <c r="H119" i="1"/>
  <c r="C137" i="1"/>
  <c r="E137" i="1" s="1"/>
  <c r="C136" i="1"/>
  <c r="G136" i="1" s="1"/>
  <c r="C142" i="1"/>
  <c r="E142" i="1" s="1"/>
  <c r="C141" i="1"/>
  <c r="E141" i="1" s="1"/>
  <c r="C140" i="1"/>
  <c r="E140" i="1" s="1"/>
  <c r="D139" i="1"/>
  <c r="C139" i="1"/>
  <c r="G139" i="1" s="1"/>
  <c r="C134" i="1"/>
  <c r="E134" i="1" s="1"/>
  <c r="E136" i="1" l="1"/>
  <c r="I122" i="1"/>
  <c r="G137" i="1"/>
  <c r="I137" i="1" s="1"/>
  <c r="E139" i="1"/>
  <c r="I120" i="1"/>
  <c r="G134" i="1"/>
  <c r="I134" i="1" s="1"/>
  <c r="H139" i="1"/>
  <c r="I139" i="1" s="1"/>
  <c r="G141" i="1"/>
  <c r="I141" i="1" s="1"/>
  <c r="G142" i="1"/>
  <c r="I142" i="1" s="1"/>
  <c r="G140" i="1"/>
  <c r="I140" i="1" s="1"/>
  <c r="I136" i="1"/>
  <c r="I133" i="1"/>
  <c r="D110" i="1"/>
  <c r="D107" i="1"/>
  <c r="D104" i="1"/>
  <c r="H118" i="1"/>
  <c r="D106" i="1"/>
  <c r="H106" i="1" s="1"/>
  <c r="C106" i="1"/>
  <c r="G106" i="1" s="1"/>
  <c r="C105" i="1"/>
  <c r="E106" i="1" l="1"/>
  <c r="I106" i="1"/>
  <c r="C104" i="1"/>
  <c r="D94" i="1"/>
  <c r="D40" i="1"/>
  <c r="D75" i="1" l="1"/>
  <c r="D74" i="1"/>
  <c r="D73" i="1"/>
  <c r="D71" i="1"/>
  <c r="C118" i="1" l="1"/>
  <c r="C40" i="1"/>
  <c r="C121" i="1"/>
  <c r="G121" i="1" s="1"/>
  <c r="I121" i="1" s="1"/>
  <c r="E118" i="1" l="1"/>
  <c r="G118" i="1"/>
  <c r="I118" i="1" s="1"/>
  <c r="C39" i="1"/>
  <c r="E133" i="1" l="1"/>
  <c r="C132" i="1"/>
  <c r="C126" i="1"/>
  <c r="C125" i="1"/>
  <c r="C124" i="1"/>
  <c r="E122" i="1"/>
  <c r="E126" i="1" l="1"/>
  <c r="G126" i="1"/>
  <c r="I126" i="1" s="1"/>
  <c r="G128" i="1"/>
  <c r="I128" i="1" s="1"/>
  <c r="E124" i="1"/>
  <c r="G124" i="1"/>
  <c r="I124" i="1" s="1"/>
  <c r="E132" i="1"/>
  <c r="G132" i="1"/>
  <c r="I132" i="1" s="1"/>
  <c r="E125" i="1"/>
  <c r="G125" i="1"/>
  <c r="I125" i="1" s="1"/>
  <c r="C119" i="1"/>
  <c r="D114" i="1"/>
  <c r="C68" i="1"/>
  <c r="G119" i="1" l="1"/>
  <c r="I119" i="1" s="1"/>
  <c r="E119" i="1"/>
  <c r="C7" i="1"/>
  <c r="D38" i="1" l="1"/>
  <c r="D37" i="1"/>
  <c r="D36" i="1"/>
  <c r="E121" i="1" l="1"/>
  <c r="C87" i="1" l="1"/>
  <c r="C86" i="1"/>
  <c r="C85" i="1"/>
  <c r="C80" i="1"/>
  <c r="C79" i="1"/>
  <c r="C78" i="1"/>
  <c r="C18" i="1"/>
  <c r="C131" i="1" l="1"/>
  <c r="C130" i="1"/>
  <c r="C127" i="1"/>
  <c r="C123" i="1"/>
  <c r="E120" i="1"/>
  <c r="H92" i="1"/>
  <c r="G92" i="1"/>
  <c r="E92" i="1"/>
  <c r="E127" i="1" l="1"/>
  <c r="G127" i="1"/>
  <c r="I127" i="1" s="1"/>
  <c r="G129" i="1"/>
  <c r="I129" i="1" s="1"/>
  <c r="E130" i="1"/>
  <c r="G130" i="1"/>
  <c r="I130" i="1" s="1"/>
  <c r="E123" i="1"/>
  <c r="G123" i="1"/>
  <c r="I123" i="1" s="1"/>
  <c r="E131" i="1"/>
  <c r="G131" i="1"/>
  <c r="I131" i="1" s="1"/>
  <c r="I92" i="1"/>
  <c r="C114" i="1"/>
  <c r="G114" i="1" s="1"/>
  <c r="H114" i="1"/>
  <c r="G107" i="1"/>
  <c r="G108" i="1"/>
  <c r="G110" i="1"/>
  <c r="G111" i="1"/>
  <c r="G104" i="1"/>
  <c r="D112" i="1"/>
  <c r="H112" i="1" s="1"/>
  <c r="C112" i="1"/>
  <c r="D111" i="1"/>
  <c r="E111" i="1" s="1"/>
  <c r="E110" i="1"/>
  <c r="D109" i="1"/>
  <c r="H109" i="1" s="1"/>
  <c r="C109" i="1"/>
  <c r="D108" i="1"/>
  <c r="E108" i="1" s="1"/>
  <c r="E107" i="1"/>
  <c r="D105" i="1"/>
  <c r="G105" i="1"/>
  <c r="E104" i="1"/>
  <c r="D101" i="1"/>
  <c r="H101" i="1" s="1"/>
  <c r="C101" i="1"/>
  <c r="G101" i="1" s="1"/>
  <c r="D100" i="1"/>
  <c r="C100" i="1"/>
  <c r="G100" i="1" s="1"/>
  <c r="D99" i="1"/>
  <c r="H99" i="1" s="1"/>
  <c r="C99" i="1"/>
  <c r="G99" i="1" s="1"/>
  <c r="I143" i="1" l="1"/>
  <c r="I99" i="1"/>
  <c r="E112" i="1"/>
  <c r="I114" i="1"/>
  <c r="E101" i="1"/>
  <c r="H111" i="1"/>
  <c r="I111" i="1" s="1"/>
  <c r="H107" i="1"/>
  <c r="I107" i="1" s="1"/>
  <c r="E114" i="1"/>
  <c r="H110" i="1"/>
  <c r="I110" i="1" s="1"/>
  <c r="I101" i="1"/>
  <c r="E99" i="1"/>
  <c r="E105" i="1"/>
  <c r="E109" i="1"/>
  <c r="H108" i="1"/>
  <c r="I108" i="1" s="1"/>
  <c r="H105" i="1"/>
  <c r="I105" i="1" s="1"/>
  <c r="E100" i="1"/>
  <c r="H100" i="1"/>
  <c r="I100" i="1" s="1"/>
  <c r="H104" i="1"/>
  <c r="I104" i="1" s="1"/>
  <c r="G112" i="1"/>
  <c r="I112" i="1" s="1"/>
  <c r="G109" i="1"/>
  <c r="I109" i="1" s="1"/>
  <c r="I115" i="1" l="1"/>
  <c r="E96" i="1"/>
  <c r="E94" i="1" l="1"/>
  <c r="D87" i="1"/>
  <c r="H87" i="1" s="1"/>
  <c r="D86" i="1"/>
  <c r="H86" i="1" s="1"/>
  <c r="D85" i="1"/>
  <c r="G85" i="1"/>
  <c r="D83" i="1"/>
  <c r="H83" i="1" s="1"/>
  <c r="D82" i="1"/>
  <c r="H82" i="1" s="1"/>
  <c r="G82" i="1"/>
  <c r="D80" i="1"/>
  <c r="H80" i="1" s="1"/>
  <c r="G80" i="1"/>
  <c r="D79" i="1"/>
  <c r="H79" i="1" s="1"/>
  <c r="D78" i="1"/>
  <c r="H78" i="1" s="1"/>
  <c r="H75" i="1"/>
  <c r="G75" i="1"/>
  <c r="H74" i="1"/>
  <c r="H73" i="1"/>
  <c r="H71" i="1"/>
  <c r="D70" i="1"/>
  <c r="G70" i="1"/>
  <c r="G68" i="1"/>
  <c r="G67" i="1"/>
  <c r="D68" i="1"/>
  <c r="H68" i="1" s="1"/>
  <c r="D67" i="1"/>
  <c r="H67" i="1" s="1"/>
  <c r="E78" i="1" l="1"/>
  <c r="I80" i="1"/>
  <c r="E87" i="1"/>
  <c r="E73" i="1"/>
  <c r="E79" i="1"/>
  <c r="I82" i="1"/>
  <c r="E83" i="1"/>
  <c r="E86" i="1"/>
  <c r="E85" i="1"/>
  <c r="E74" i="1"/>
  <c r="G86" i="1"/>
  <c r="I86" i="1" s="1"/>
  <c r="I75" i="1"/>
  <c r="E82" i="1"/>
  <c r="G78" i="1"/>
  <c r="I78" i="1" s="1"/>
  <c r="H85" i="1"/>
  <c r="I85" i="1" s="1"/>
  <c r="G83" i="1"/>
  <c r="I83" i="1" s="1"/>
  <c r="E71" i="1"/>
  <c r="E80" i="1"/>
  <c r="G87" i="1"/>
  <c r="I87" i="1" s="1"/>
  <c r="G79" i="1"/>
  <c r="I79" i="1" s="1"/>
  <c r="G73" i="1"/>
  <c r="I73" i="1" s="1"/>
  <c r="G71" i="1"/>
  <c r="I71" i="1" s="1"/>
  <c r="E70" i="1"/>
  <c r="H70" i="1"/>
  <c r="I70" i="1" s="1"/>
  <c r="E75" i="1"/>
  <c r="G74" i="1"/>
  <c r="I74" i="1" s="1"/>
  <c r="G65" i="1"/>
  <c r="G64" i="1"/>
  <c r="G62" i="1"/>
  <c r="G61" i="1"/>
  <c r="G59" i="1"/>
  <c r="G58" i="1"/>
  <c r="D66" i="1"/>
  <c r="H66" i="1" s="1"/>
  <c r="C66" i="1"/>
  <c r="G66" i="1" s="1"/>
  <c r="D65" i="1"/>
  <c r="H65" i="1" s="1"/>
  <c r="D64" i="1"/>
  <c r="H64" i="1" s="1"/>
  <c r="C63" i="1"/>
  <c r="G63" i="1" s="1"/>
  <c r="I76" i="1"/>
  <c r="I72" i="1"/>
  <c r="I69" i="1"/>
  <c r="I68" i="1"/>
  <c r="I67" i="1"/>
  <c r="D63" i="1"/>
  <c r="H63" i="1" s="1"/>
  <c r="D62" i="1"/>
  <c r="H62" i="1" s="1"/>
  <c r="D61" i="1"/>
  <c r="H61" i="1" s="1"/>
  <c r="D60" i="1"/>
  <c r="C60" i="1"/>
  <c r="G60" i="1" s="1"/>
  <c r="D59" i="1"/>
  <c r="H59" i="1" s="1"/>
  <c r="D58" i="1"/>
  <c r="H58" i="1" s="1"/>
  <c r="G43" i="1"/>
  <c r="G42" i="1"/>
  <c r="D51" i="1"/>
  <c r="H51" i="1" s="1"/>
  <c r="C51" i="1"/>
  <c r="D50" i="1"/>
  <c r="H50" i="1" s="1"/>
  <c r="C50" i="1"/>
  <c r="G50" i="1" s="1"/>
  <c r="D49" i="1"/>
  <c r="C49" i="1"/>
  <c r="G49" i="1" s="1"/>
  <c r="C46" i="1"/>
  <c r="G46" i="1" s="1"/>
  <c r="E54" i="1"/>
  <c r="E53" i="1"/>
  <c r="E52" i="1"/>
  <c r="D48" i="1"/>
  <c r="C48" i="1"/>
  <c r="G48" i="1" s="1"/>
  <c r="D47" i="1"/>
  <c r="H47" i="1" s="1"/>
  <c r="C47" i="1"/>
  <c r="G47" i="1" s="1"/>
  <c r="D46" i="1"/>
  <c r="E46" i="1" s="1"/>
  <c r="D44" i="1"/>
  <c r="H44" i="1" s="1"/>
  <c r="C44" i="1"/>
  <c r="D45" i="1"/>
  <c r="H45" i="1" s="1"/>
  <c r="C45" i="1"/>
  <c r="G45" i="1" s="1"/>
  <c r="D43" i="1"/>
  <c r="E43" i="1" s="1"/>
  <c r="D42" i="1"/>
  <c r="E42" i="1" s="1"/>
  <c r="H40" i="1"/>
  <c r="D39" i="1"/>
  <c r="H39" i="1" s="1"/>
  <c r="G40" i="1"/>
  <c r="G39" i="1"/>
  <c r="E115" i="1"/>
  <c r="C38" i="1"/>
  <c r="G38" i="1" s="1"/>
  <c r="C37" i="1"/>
  <c r="G37" i="1" s="1"/>
  <c r="G36" i="1"/>
  <c r="H36" i="1"/>
  <c r="H26" i="1"/>
  <c r="H27" i="1"/>
  <c r="H25" i="1"/>
  <c r="E27" i="1"/>
  <c r="E26" i="1"/>
  <c r="G25" i="1"/>
  <c r="I61" i="1" l="1"/>
  <c r="I62" i="1"/>
  <c r="E65" i="1"/>
  <c r="E58" i="1"/>
  <c r="E64" i="1"/>
  <c r="I63" i="1"/>
  <c r="I66" i="1"/>
  <c r="I65" i="1"/>
  <c r="I64" i="1"/>
  <c r="E44" i="1"/>
  <c r="E66" i="1"/>
  <c r="E48" i="1"/>
  <c r="H42" i="1"/>
  <c r="I42" i="1" s="1"/>
  <c r="E61" i="1"/>
  <c r="E63" i="1"/>
  <c r="I47" i="1"/>
  <c r="E49" i="1"/>
  <c r="E60" i="1"/>
  <c r="E62" i="1"/>
  <c r="E68" i="1"/>
  <c r="I58" i="1"/>
  <c r="I50" i="1"/>
  <c r="H43" i="1"/>
  <c r="I43" i="1" s="1"/>
  <c r="E59" i="1"/>
  <c r="E67" i="1"/>
  <c r="I59" i="1"/>
  <c r="H60" i="1"/>
  <c r="I60" i="1" s="1"/>
  <c r="I45" i="1"/>
  <c r="E51" i="1"/>
  <c r="G44" i="1"/>
  <c r="E50" i="1"/>
  <c r="G51" i="1"/>
  <c r="I51" i="1" s="1"/>
  <c r="H48" i="1"/>
  <c r="I48" i="1" s="1"/>
  <c r="I44" i="1"/>
  <c r="H49" i="1"/>
  <c r="I49" i="1" s="1"/>
  <c r="H46" i="1"/>
  <c r="I46" i="1" s="1"/>
  <c r="E40" i="1"/>
  <c r="E45" i="1"/>
  <c r="E47" i="1"/>
  <c r="I40" i="1"/>
  <c r="I36" i="1"/>
  <c r="E36" i="1"/>
  <c r="I25" i="1"/>
  <c r="I39" i="1"/>
  <c r="E39" i="1"/>
  <c r="E38" i="1"/>
  <c r="E37" i="1"/>
  <c r="G26" i="1"/>
  <c r="I26" i="1" s="1"/>
  <c r="G27" i="1"/>
  <c r="I27" i="1" s="1"/>
  <c r="H37" i="1"/>
  <c r="I37" i="1" s="1"/>
  <c r="H38" i="1"/>
  <c r="I38" i="1" s="1"/>
  <c r="E25" i="1"/>
  <c r="H13" i="1"/>
  <c r="G15" i="1"/>
  <c r="D15" i="1"/>
  <c r="H15" i="1" s="1"/>
  <c r="G14" i="1"/>
  <c r="D14" i="1"/>
  <c r="H14" i="1" s="1"/>
  <c r="G13" i="1"/>
  <c r="G12" i="1"/>
  <c r="D12" i="1"/>
  <c r="D8" i="1"/>
  <c r="G20" i="1"/>
  <c r="G19" i="1"/>
  <c r="G18" i="1"/>
  <c r="G17" i="1"/>
  <c r="G11" i="1"/>
  <c r="G10" i="1"/>
  <c r="G9" i="1"/>
  <c r="G8" i="1"/>
  <c r="G7" i="1"/>
  <c r="G6" i="1"/>
  <c r="I88" i="1" l="1"/>
  <c r="I55" i="1"/>
  <c r="E88" i="1"/>
  <c r="E33" i="1"/>
  <c r="E55" i="1"/>
  <c r="I33" i="1"/>
  <c r="E12" i="1"/>
  <c r="I15" i="1"/>
  <c r="H12" i="1"/>
  <c r="I12" i="1" s="1"/>
  <c r="I13" i="1"/>
  <c r="E15" i="1"/>
  <c r="E14" i="1"/>
  <c r="I14" i="1"/>
  <c r="E13" i="1"/>
  <c r="H8" i="1"/>
  <c r="I8" i="1" s="1"/>
  <c r="H16" i="1"/>
  <c r="I16" i="1" s="1"/>
  <c r="H21" i="1"/>
  <c r="I21" i="1" s="1"/>
  <c r="H22" i="1"/>
  <c r="I22" i="1" s="1"/>
  <c r="H23" i="1"/>
  <c r="I23" i="1" s="1"/>
  <c r="H24" i="1"/>
  <c r="I24" i="1" s="1"/>
  <c r="H28" i="1"/>
  <c r="I28" i="1" s="1"/>
  <c r="D20" i="1"/>
  <c r="H20" i="1" s="1"/>
  <c r="I20" i="1" s="1"/>
  <c r="D19" i="1"/>
  <c r="D18" i="1"/>
  <c r="H18" i="1" s="1"/>
  <c r="I18" i="1" s="1"/>
  <c r="E8" i="1"/>
  <c r="D11" i="1"/>
  <c r="H11" i="1" s="1"/>
  <c r="I11" i="1" s="1"/>
  <c r="H10" i="1"/>
  <c r="I10" i="1" s="1"/>
  <c r="E10" i="1"/>
  <c r="C9" i="1"/>
  <c r="D17" i="1"/>
  <c r="H17" i="1" s="1"/>
  <c r="I17" i="1" s="1"/>
  <c r="D7" i="1"/>
  <c r="H7" i="1" s="1"/>
  <c r="I7" i="1" s="1"/>
  <c r="D6" i="1"/>
  <c r="H6" i="1" s="1"/>
  <c r="I6" i="1" s="1"/>
  <c r="E19" i="1" l="1"/>
  <c r="E17" i="1"/>
  <c r="E9" i="1"/>
  <c r="H9" i="1"/>
  <c r="I9" i="1" s="1"/>
  <c r="E6" i="1"/>
  <c r="E7" i="1"/>
  <c r="E11" i="1"/>
  <c r="E18" i="1"/>
  <c r="H19" i="1"/>
  <c r="I19" i="1" s="1"/>
  <c r="E20" i="1"/>
  <c r="I29" i="1" l="1"/>
  <c r="I144" i="1" s="1"/>
  <c r="I146" i="1" s="1"/>
  <c r="I148" i="1" s="1"/>
  <c r="I151" i="1" s="1"/>
  <c r="E29" i="1"/>
  <c r="E143" i="1" l="1"/>
  <c r="E144" i="1" s="1"/>
  <c r="J146" i="1" s="1"/>
  <c r="E145" i="1" l="1"/>
  <c r="E146" i="1" l="1"/>
  <c r="E148" i="1" s="1"/>
  <c r="E151" i="1" s="1"/>
  <c r="C24" i="6" s="1"/>
  <c r="D25" i="6" l="1"/>
  <c r="C30" i="6"/>
  <c r="D31" i="6" s="1"/>
</calcChain>
</file>

<file path=xl/sharedStrings.xml><?xml version="1.0" encoding="utf-8"?>
<sst xmlns="http://schemas.openxmlformats.org/spreadsheetml/2006/main" count="717" uniqueCount="395">
  <si>
    <r>
      <rPr>
        <b/>
        <sz val="12"/>
        <rFont val="Arial"/>
        <family val="2"/>
      </rPr>
      <t xml:space="preserve"> 1. Budget de l’action</t>
    </r>
    <r>
      <rPr>
        <b/>
        <vertAlign val="superscript"/>
        <sz val="12"/>
        <rFont val="Arial"/>
        <family val="2"/>
      </rPr>
      <t>1</t>
    </r>
  </si>
  <si>
    <r>
      <rPr>
        <b/>
        <sz val="10"/>
        <rFont val="Arial"/>
        <family val="2"/>
      </rPr>
      <t>Toutes les années</t>
    </r>
  </si>
  <si>
    <r>
      <rPr>
        <b/>
        <sz val="10"/>
        <rFont val="Arial"/>
        <family val="2"/>
      </rPr>
      <t>Année 1</t>
    </r>
    <r>
      <rPr>
        <b/>
        <vertAlign val="superscript"/>
        <sz val="10"/>
        <rFont val="Arial"/>
        <family val="2"/>
      </rPr>
      <t>2</t>
    </r>
  </si>
  <si>
    <r>
      <rPr>
        <b/>
        <sz val="10"/>
        <rFont val="Arial"/>
        <family val="2"/>
      </rPr>
      <t>Coûts</t>
    </r>
  </si>
  <si>
    <r>
      <rPr>
        <b/>
        <sz val="10"/>
        <rFont val="Arial"/>
        <family val="2"/>
      </rPr>
      <t xml:space="preserve">Unité </t>
    </r>
    <r>
      <rPr>
        <b/>
        <vertAlign val="superscript"/>
        <sz val="10"/>
        <rFont val="Arial"/>
        <family val="2"/>
      </rPr>
      <t>13</t>
    </r>
  </si>
  <si>
    <r>
      <rPr>
        <b/>
        <sz val="10"/>
        <rFont val="Arial"/>
        <family val="2"/>
      </rPr>
      <t>Nbre d'unités</t>
    </r>
  </si>
  <si>
    <r>
      <rPr>
        <b/>
        <sz val="10"/>
        <rFont val="Arial"/>
        <family val="2"/>
      </rPr>
      <t>Valeur unitaire
(en EUR)</t>
    </r>
  </si>
  <si>
    <r>
      <rPr>
        <b/>
        <sz val="10"/>
        <rFont val="Arial"/>
        <family val="2"/>
      </rPr>
      <t>Coût total
(en EUR)</t>
    </r>
    <r>
      <rPr>
        <b/>
        <vertAlign val="superscript"/>
        <sz val="10"/>
        <rFont val="Arial"/>
        <family val="2"/>
      </rPr>
      <t>3</t>
    </r>
  </si>
  <si>
    <r>
      <rPr>
        <b/>
        <sz val="10"/>
        <rFont val="Arial"/>
        <family val="2"/>
      </rPr>
      <t>Unité</t>
    </r>
  </si>
  <si>
    <r>
      <rPr>
        <b/>
        <sz val="10"/>
        <rFont val="Arial"/>
        <family val="2"/>
      </rPr>
      <t>Nbre d'unités</t>
    </r>
  </si>
  <si>
    <r>
      <rPr>
        <b/>
        <sz val="10"/>
        <rFont val="Arial"/>
        <family val="2"/>
      </rPr>
      <t>Valeur unitaire
(en EUR)</t>
    </r>
  </si>
  <si>
    <r>
      <rPr>
        <b/>
        <sz val="10"/>
        <rFont val="Arial"/>
        <family val="2"/>
      </rPr>
      <t>Coût total
(en EUR)</t>
    </r>
  </si>
  <si>
    <r>
      <rPr>
        <b/>
        <sz val="10"/>
        <color theme="1"/>
        <rFont val="Arial"/>
        <family val="2"/>
      </rPr>
      <t>1. Ressources humaines</t>
    </r>
    <r>
      <rPr>
        <b/>
        <vertAlign val="superscript"/>
        <sz val="10"/>
        <color rgb="FF000000"/>
        <rFont val="Arial"/>
        <family val="2"/>
      </rPr>
      <t>14</t>
    </r>
  </si>
  <si>
    <r>
      <rPr>
        <sz val="10"/>
        <rFont val="Arial"/>
        <family val="2"/>
      </rPr>
      <t>1.1 Salaires (montants bruts incluant les charges de sécurité sociale et les autres coûts liés, personnel local)</t>
    </r>
    <r>
      <rPr>
        <vertAlign val="superscript"/>
        <sz val="10"/>
        <rFont val="Arial"/>
        <family val="2"/>
      </rPr>
      <t>4</t>
    </r>
  </si>
  <si>
    <r>
      <rPr>
        <sz val="10"/>
        <rFont val="Arial"/>
        <family val="2"/>
      </rPr>
      <t>par mois</t>
    </r>
  </si>
  <si>
    <r>
      <rPr>
        <b/>
        <i/>
        <sz val="10"/>
        <rFont val="Arial"/>
        <family val="2"/>
      </rPr>
      <t>Sous-total Ressources humaines</t>
    </r>
  </si>
  <si>
    <r>
      <rPr>
        <b/>
        <sz val="10"/>
        <rFont val="Arial"/>
        <family val="2"/>
      </rPr>
      <t>2. Voyages</t>
    </r>
    <r>
      <rPr>
        <b/>
        <vertAlign val="superscript"/>
        <sz val="10"/>
        <rFont val="Arial"/>
        <family val="2"/>
      </rPr>
      <t>6</t>
    </r>
  </si>
  <si>
    <r>
      <rPr>
        <b/>
        <i/>
        <sz val="10"/>
        <rFont val="Arial"/>
        <family val="2"/>
      </rPr>
      <t>Sous-total Voyages</t>
    </r>
  </si>
  <si>
    <r>
      <rPr>
        <b/>
        <sz val="10"/>
        <rFont val="Arial"/>
        <family val="2"/>
      </rPr>
      <t>3. Équipement et fournitures</t>
    </r>
    <r>
      <rPr>
        <b/>
        <vertAlign val="superscript"/>
        <sz val="10"/>
        <rFont val="Arial"/>
        <family val="2"/>
      </rPr>
      <t>7</t>
    </r>
  </si>
  <si>
    <r>
      <rPr>
        <b/>
        <i/>
        <sz val="10"/>
        <rFont val="Arial"/>
        <family val="2"/>
      </rPr>
      <t>Sous-total Équipement et fournitures</t>
    </r>
  </si>
  <si>
    <r>
      <rPr>
        <b/>
        <sz val="10"/>
        <color theme="1"/>
        <rFont val="Arial"/>
        <family val="2"/>
      </rPr>
      <t>4. Bureau local</t>
    </r>
    <r>
      <rPr>
        <b/>
        <vertAlign val="superscript"/>
        <sz val="10"/>
        <color rgb="FF000000"/>
        <rFont val="Arial"/>
        <family val="2"/>
      </rPr>
      <t>14</t>
    </r>
  </si>
  <si>
    <r>
      <rPr>
        <sz val="10"/>
        <rFont val="Arial"/>
        <family val="2"/>
      </rPr>
      <t>par mois</t>
    </r>
  </si>
  <si>
    <r>
      <rPr>
        <sz val="10"/>
        <rFont val="Arial"/>
        <family val="2"/>
      </rPr>
      <t>par mois</t>
    </r>
  </si>
  <si>
    <r>
      <rPr>
        <b/>
        <i/>
        <sz val="10"/>
        <rFont val="Arial"/>
        <family val="2"/>
      </rPr>
      <t>Sous-total Bureau local</t>
    </r>
  </si>
  <si>
    <r>
      <rPr>
        <b/>
        <sz val="10"/>
        <rFont val="Arial"/>
        <family val="2"/>
      </rPr>
      <t>5. Autres coûts, services</t>
    </r>
    <r>
      <rPr>
        <b/>
        <vertAlign val="superscript"/>
        <sz val="10"/>
        <rFont val="Arial"/>
        <family val="2"/>
      </rPr>
      <t>8</t>
    </r>
  </si>
  <si>
    <r>
      <rPr>
        <b/>
        <i/>
        <sz val="10"/>
        <rFont val="Arial"/>
        <family val="2"/>
      </rPr>
      <t>Sous-total Autres coûts, services</t>
    </r>
  </si>
  <si>
    <r>
      <rPr>
        <b/>
        <sz val="10"/>
        <rFont val="Arial"/>
        <family val="2"/>
      </rPr>
      <t>6. Autres</t>
    </r>
  </si>
  <si>
    <r>
      <rPr>
        <b/>
        <i/>
        <sz val="10"/>
        <rFont val="Arial"/>
        <family val="2"/>
      </rPr>
      <t>Sous-total Autres</t>
    </r>
  </si>
  <si>
    <r>
      <rPr>
        <b/>
        <sz val="10"/>
        <rFont val="Arial"/>
        <family val="2"/>
      </rPr>
      <t>7.  Sous-total des coûts directs éligibles de l'action (1 à 6)</t>
    </r>
  </si>
  <si>
    <r>
      <rPr>
        <sz val="10"/>
        <color theme="1"/>
        <rFont val="Arial"/>
        <family val="2"/>
      </rPr>
      <t>8. Coûts indirects (maximum 7 % de la ligne 7 «Sous-total des coûts directs éligibles de l’action»)</t>
    </r>
  </si>
  <si>
    <r>
      <rPr>
        <b/>
        <sz val="10"/>
        <rFont val="Arial"/>
        <family val="2"/>
      </rPr>
      <t>9. Total des coûts éligibles de l'action, hors réserve pour imprévus (7+8)</t>
    </r>
  </si>
  <si>
    <r>
      <rPr>
        <sz val="10"/>
        <color theme="1"/>
        <rFont val="Arial"/>
        <family val="2"/>
      </rPr>
      <t xml:space="preserve">10.  Provision pour imprévus (maximum 5 % de la ligne 7 «Sous-total des coûts directs éligibles de l’action») </t>
    </r>
  </si>
  <si>
    <r>
      <rPr>
        <b/>
        <sz val="10"/>
        <rFont val="Arial"/>
        <family val="2"/>
      </rPr>
      <t>11. Total</t>
    </r>
    <r>
      <rPr>
        <b/>
        <sz val="10"/>
        <rFont val="Arial"/>
        <family val="2"/>
      </rPr>
      <t xml:space="preserve"> des coûts éligibles (9+10) </t>
    </r>
  </si>
  <si>
    <r>
      <rPr>
        <sz val="10"/>
        <rFont val="Arial"/>
        <family val="2"/>
      </rPr>
      <t>12. - Taxes</t>
    </r>
    <r>
      <rPr>
        <vertAlign val="superscript"/>
        <sz val="10"/>
        <rFont val="Arial"/>
        <family val="2"/>
      </rPr>
      <t xml:space="preserve">11
</t>
    </r>
    <r>
      <rPr>
        <sz val="10"/>
        <rFont val="Arial"/>
        <family val="2"/>
      </rPr>
      <t xml:space="preserve">      - Contributions en nature</t>
    </r>
    <r>
      <rPr>
        <vertAlign val="superscript"/>
        <sz val="10"/>
        <rFont val="Arial"/>
        <family val="2"/>
      </rPr>
      <t>12</t>
    </r>
  </si>
  <si>
    <r>
      <rPr>
        <b/>
        <sz val="10"/>
        <rFont val="Arial"/>
        <family val="2"/>
      </rPr>
      <t>13. Total des coûts acceptés</t>
    </r>
    <r>
      <rPr>
        <b/>
        <vertAlign val="superscript"/>
        <sz val="10"/>
        <rFont val="Arial"/>
        <family val="2"/>
      </rPr>
      <t>11</t>
    </r>
    <r>
      <rPr>
        <b/>
        <sz val="10"/>
        <rFont val="Arial"/>
        <family val="2"/>
      </rPr>
      <t xml:space="preserve"> de l'action (11+12)</t>
    </r>
  </si>
  <si>
    <r>
      <rPr>
        <sz val="10"/>
        <color theme="1"/>
        <rFont val="Arial"/>
        <family val="2"/>
      </rPr>
      <t>1. La description des postes budgétaires doit être suffisamment détaillée et tous les postes doivent être ventilés suivant leurs composantes principales. Le nombre d'unités et la valeur unitaire doivent être précisés pour chaque poste budgétaire en fonction des indications fournies. Le budget doit inclure les coûts relatifs à l'action dans son ensemble, indépendamment de la part financée par l'administration contractante.</t>
    </r>
  </si>
  <si>
    <r>
      <rPr>
        <sz val="10"/>
        <rFont val="Arial"/>
        <family val="2"/>
      </rPr>
      <t>2. Cette section doit être complétée si l’action est mise en œuvre sur une période plus longue qu’une période de référence (généralement 12 mois).</t>
    </r>
  </si>
  <si>
    <r>
      <rPr>
        <sz val="10"/>
        <rFont val="Arial"/>
        <family val="2"/>
      </rPr>
      <t>3. Le budget peut être établi en euro ou dans la monnaie du pays de l'administration contractante. Les coûts et les valeurs unitaires sont arrondis à l'euro le plus proche.</t>
    </r>
  </si>
  <si>
    <r>
      <rPr>
        <sz val="10"/>
        <rFont val="Arial"/>
        <family val="2"/>
      </rPr>
      <t>4. Si le personnel n'est pas affecté à temps plein à l’action, le pourcentage doit être indiqué à côté de la description du poste et reflété dans le nombre d'unités (et non pas dans la valeur unitaire).</t>
    </r>
  </si>
  <si>
    <r>
      <rPr>
        <sz val="10"/>
        <color theme="1"/>
        <rFont val="Arial"/>
        <family val="2"/>
      </rPr>
      <t>5. Indiquer le pays où les per diems seront supportés</t>
    </r>
    <r>
      <rPr>
        <strike/>
        <sz val="10"/>
        <color rgb="FF000000"/>
        <rFont val="Arial"/>
        <family val="2"/>
      </rPr>
      <t>.</t>
    </r>
    <r>
      <rPr>
        <sz val="10"/>
        <color rgb="FF000000"/>
        <rFont val="Arial"/>
        <family val="2"/>
      </rPr>
      <t xml:space="preserve">
Les per diems ne sont pas considérés comme une option simplifiée en matière de coûts aux fins du financement par l'Union lorsque le bénéficiaire de la subvention rembourse un montant fixe à son personnel, conformément aux règles qui lui sont applicables, et demande ensuite le remboursement de ce même montant dans le budget de l'action. Il s'agit de coûts réels. 
Dans le cas contraire, si le bénéficiaire propose un remboursement sur la base d’une option simplifiée en matière de coûts (par exemple un «coût unitaire»), il doit mentionner «COÛT UNITAIRE per diem» dans la colonne «Valeur unitaire», ainsi que les taux applicables (dans tous les cas, le coût final éligible ne peut excéder les taux publiés par la Commission européenne au moment de la signature du contrat).</t>
    </r>
  </si>
  <si>
    <r>
      <rPr>
        <sz val="10"/>
        <rFont val="Arial"/>
        <family val="2"/>
      </rPr>
      <t>6. Les coûts liés à la compensation des émissions de CO</t>
    </r>
    <r>
      <rPr>
        <vertAlign val="subscript"/>
        <sz val="10"/>
        <rFont val="Arial"/>
        <family val="2"/>
      </rPr>
      <t>2</t>
    </r>
    <r>
      <rPr>
        <sz val="10"/>
        <rFont val="Arial"/>
        <family val="2"/>
      </rPr>
      <t xml:space="preserve"> pour les voyages aériens peuvent être inclus. Cette compensation sera réalisée en soutenant des projets MDP «Gold Standard» (la preuve doit figurer parmi les pièces justificatives) ou via les programmes des compagnies aériennes, lorsqu’ils existent.  Indiquez le lieu de départ et la destination. Si l'information n'est pas disponible, indiquez un montant global.</t>
    </r>
  </si>
  <si>
    <r>
      <rPr>
        <sz val="10"/>
        <rFont val="Arial"/>
        <family val="2"/>
      </rPr>
      <t>7. Distinguez les coûts d'acquisition et les coûts de location.</t>
    </r>
  </si>
  <si>
    <r>
      <rPr>
        <sz val="10"/>
        <rFont val="Arial"/>
        <family val="2"/>
      </rPr>
      <t>8. Précisez le type de coûts ou de services. Les montants globaux ne sont pas acceptés.</t>
    </r>
  </si>
  <si>
    <r>
      <rPr>
        <sz val="10"/>
        <rFont val="Arial"/>
        <family val="2"/>
      </rPr>
      <t>9. À indiquer sous cette rubrique en cas de sous-traitance totale uniquement.</t>
    </r>
  </si>
  <si>
    <r>
      <rPr>
        <sz val="10"/>
        <rFont val="Arial"/>
        <family val="2"/>
      </rPr>
      <t xml:space="preserve">10. Les activités de communication et de visibilité doivent être dûment planifiées et budgétisées à chaque étape de la mise en œuvre du projet. </t>
    </r>
  </si>
  <si>
    <r>
      <rPr>
        <sz val="10"/>
        <color theme="1"/>
        <rFont val="Arial"/>
        <family val="2"/>
      </rPr>
      <t>11. À ne remplir que lorsque l'appel à propositions le prévoit (c.-à-d. lorsque les taxes ne sont pas éligibles et que le(s) bénéficiaire(s) peut/peuvent prouver qu'il(s) ne peut/peuvent pas les récupérer). Consultez le glossaire (annexe A1) du Guide pratique des procédures contractuelles dans le cadre des actions extérieures de l'UE pour la définition de ce que l'on entend par «taxes». Veuillez noter que les taxes directes ne sont pas à reporter sur cette ligne (par exemple les taxes sur les salaires du personnel travaillant pour l'action qui font partie du salaire brut). Note: lorsque l'appel à propositions n'exclut pas leur prise en compte et que le bénéficiaire peut prouver qu'il ne peut pas les récupérer, les taxes sont éligibles et devront être indiquées dans chaque rubrique concernée. Les taxes qui peuvent être récupérées ne sont pas considérées comme des coûts éligibles ni acceptés.</t>
    </r>
  </si>
  <si>
    <r>
      <rPr>
        <sz val="10"/>
        <color theme="1"/>
        <rFont val="Arial"/>
        <family val="2"/>
      </rPr>
      <t>13.  Veuillez utiliser le «COÛT UNITAIRE par vol/mois/kit etc.» ou «MONTANT FORFAITAIRE» ou «TAUX FORFAITAIRE» en cas d'options de coûts simplifiés. Utilisez des lignes différentes pour chaque type d'option simplifiée en matière de coûts et pour chaque bénéficiaire. Dans la feuille de calcul n° 2, les méthodes utilisées pour les déterminer et les calculer doivent être clairement décrites et motivées, et le bénéficiaire qui les propose et les applique doit être identifié de manière univoque (pour plus d'informations, voir l'annexe K des lignes directrices - Liste de contrôle pour les options simplifiées en matière de coûts).</t>
    </r>
  </si>
  <si>
    <r>
      <rPr>
        <sz val="10"/>
        <color theme="1"/>
        <rFont val="Arial"/>
        <family val="2"/>
      </rPr>
      <t>14. Les coûts concernant les catégories 1 et 4 du budget, s'ils concernent une antenne, peuvent être déclarés sur la base d'une méthode de répartition simplifiée. Une description, rédigée par l'entité, de la méthode de répartition utilisée pour définir les coûts de l'antenne conformément aux pratiques et principes comptables et de gestion usuels de l’entité doit être présentée sur une feuille séparée et annexée au budget. La méthode sera examinée et approuvée par le comité d'évaluation et l’administration contractante lors de la phase d’attribution. Le bénéficiaire qui les propose et les applique doit être identifié de manière univoque. Lorsque les coûts sont déclarés sur la base d'une telle méthode de répartition, le montant imputé au projet doit être indiqué dans la colonne «COÛTS TOTAUX» et la mention «RÉPARTITION» doit être apposée dans la colonne «unités».</t>
    </r>
  </si>
  <si>
    <r>
      <rPr>
        <b/>
        <sz val="10"/>
        <rFont val="Arial"/>
        <family val="2"/>
      </rPr>
      <t>NB: Le(s) bénéficiaire(s) est/sont seul(s) responsable(s) de l'exactitude des informations financières fournies dans ces tableaux.</t>
    </r>
  </si>
  <si>
    <r>
      <rPr>
        <b/>
        <sz val="12"/>
        <rFont val="Arial"/>
        <family val="2"/>
      </rPr>
      <t>2. Justification du budget de l’action</t>
    </r>
  </si>
  <si>
    <r>
      <rPr>
        <b/>
        <sz val="10"/>
        <rFont val="Arial"/>
        <family val="2"/>
      </rPr>
      <t>Toutes les années</t>
    </r>
  </si>
  <si>
    <r>
      <rPr>
        <b/>
        <sz val="10"/>
        <rFont val="Arial"/>
        <family val="2"/>
      </rPr>
      <t>Coûts</t>
    </r>
  </si>
  <si>
    <r>
      <rPr>
        <b/>
        <sz val="10"/>
        <rFont val="Arial"/>
        <family val="2"/>
      </rPr>
      <t>Clarification des postes budgétaires</t>
    </r>
  </si>
  <si>
    <r>
      <rPr>
        <b/>
        <sz val="10"/>
        <rFont val="Arial"/>
        <family val="2"/>
      </rPr>
      <t>Justification des coûts estimés</t>
    </r>
  </si>
  <si>
    <r>
      <rPr>
        <i/>
        <sz val="10"/>
        <rFont val="Arial"/>
        <family val="2"/>
      </rPr>
      <t>Fournir une description narrative de chaque poste du budget démontrant la nécessité des coûts et leur lien avec l'action (par ex. par une référence aux activités et/ou aux résultats mentionnés dans la description de l’action)</t>
    </r>
  </si>
  <si>
    <r>
      <rPr>
        <i/>
        <sz val="10"/>
        <rFont val="Arial"/>
        <family val="2"/>
      </rPr>
      <t>Fournir une justification du calcul des coûts estimés. Veuillez noter que l'estimation devrait être basée sur les coûts réels ou - si autorisé - sur les options simplifiées en matière de coûts, comme indiqué à la section 2.1.5 des lignes directrices à l'intention des demandeurs</t>
    </r>
  </si>
  <si>
    <r>
      <rPr>
        <b/>
        <sz val="10"/>
        <rFont val="Arial"/>
        <family val="2"/>
      </rPr>
      <t>1. Ressources humaines</t>
    </r>
  </si>
  <si>
    <r>
      <rPr>
        <sz val="10"/>
        <rFont val="Arial"/>
        <family val="2"/>
      </rPr>
      <t>1.1 Salaires (montants bruts incluant les charges de sécurité sociale et les autres coûts liés, personnel local)</t>
    </r>
  </si>
  <si>
    <r>
      <rPr>
        <b/>
        <i/>
        <sz val="10"/>
        <rFont val="Arial"/>
        <family val="2"/>
      </rPr>
      <t>Sous-total Ressources humaines</t>
    </r>
  </si>
  <si>
    <r>
      <rPr>
        <b/>
        <sz val="10"/>
        <rFont val="Arial"/>
        <family val="2"/>
      </rPr>
      <t>2. Voyages</t>
    </r>
  </si>
  <si>
    <r>
      <rPr>
        <b/>
        <i/>
        <sz val="10"/>
        <rFont val="Arial"/>
        <family val="2"/>
      </rPr>
      <t>Sous-total Voyages</t>
    </r>
  </si>
  <si>
    <r>
      <rPr>
        <b/>
        <sz val="10"/>
        <rFont val="Arial"/>
        <family val="2"/>
      </rPr>
      <t>3. Équipement et fournitures</t>
    </r>
  </si>
  <si>
    <r>
      <rPr>
        <b/>
        <i/>
        <sz val="10"/>
        <rFont val="Arial"/>
        <family val="2"/>
      </rPr>
      <t>Sous-total Équipement et fournitures</t>
    </r>
  </si>
  <si>
    <r>
      <rPr>
        <b/>
        <sz val="10"/>
        <rFont val="Arial"/>
        <family val="2"/>
      </rPr>
      <t>4. Bureau local</t>
    </r>
  </si>
  <si>
    <r>
      <rPr>
        <b/>
        <i/>
        <sz val="10"/>
        <rFont val="Arial"/>
        <family val="2"/>
      </rPr>
      <t>Sous-total Bureau local</t>
    </r>
  </si>
  <si>
    <r>
      <rPr>
        <b/>
        <sz val="10"/>
        <rFont val="Arial"/>
        <family val="2"/>
      </rPr>
      <t>5. Autres coûts, services</t>
    </r>
  </si>
  <si>
    <r>
      <rPr>
        <b/>
        <i/>
        <sz val="10"/>
        <rFont val="Arial"/>
        <family val="2"/>
      </rPr>
      <t>Sous-total Autres coûts, services</t>
    </r>
  </si>
  <si>
    <r>
      <rPr>
        <b/>
        <sz val="10"/>
        <rFont val="Arial"/>
        <family val="2"/>
      </rPr>
      <t>6. Autres</t>
    </r>
  </si>
  <si>
    <r>
      <rPr>
        <b/>
        <i/>
        <sz val="10"/>
        <rFont val="Arial"/>
        <family val="2"/>
      </rPr>
      <t>Sous-total Autres</t>
    </r>
  </si>
  <si>
    <r>
      <rPr>
        <sz val="10"/>
        <rFont val="Arial"/>
        <family val="2"/>
      </rPr>
      <t xml:space="preserve">12. - Taxes
</t>
    </r>
    <r>
      <rPr>
        <sz val="10"/>
        <rFont val="Arial"/>
        <family val="2"/>
      </rPr>
      <t xml:space="preserve">      - Contributions en nature</t>
    </r>
  </si>
  <si>
    <r>
      <rPr>
        <b/>
        <sz val="12"/>
        <rFont val="Verdana"/>
        <family val="2"/>
      </rPr>
      <t>3. Sources de financement attendues et résumé des coûts estimés</t>
    </r>
    <r>
      <rPr>
        <b/>
        <vertAlign val="superscript"/>
        <sz val="12"/>
        <rFont val="Verdana"/>
        <family val="2"/>
      </rPr>
      <t>1</t>
    </r>
  </si>
  <si>
    <r>
      <rPr>
        <b/>
        <sz val="10"/>
        <rFont val="Verdana"/>
        <family val="2"/>
      </rPr>
      <t>Montant</t>
    </r>
  </si>
  <si>
    <r>
      <rPr>
        <b/>
        <sz val="10"/>
        <rFont val="Verdana"/>
        <family val="2"/>
      </rPr>
      <t>Pourcentage</t>
    </r>
  </si>
  <si>
    <r>
      <rPr>
        <b/>
        <sz val="10"/>
        <rFont val="Verdana"/>
        <family val="2"/>
      </rPr>
      <t xml:space="preserve">EUR
</t>
    </r>
  </si>
  <si>
    <r>
      <rPr>
        <b/>
        <sz val="10"/>
        <rFont val="Verdana"/>
        <family val="2"/>
      </rPr>
      <t>%</t>
    </r>
  </si>
  <si>
    <r>
      <rPr>
        <b/>
        <sz val="10"/>
        <color theme="1"/>
        <rFont val="Verdana"/>
        <family val="2"/>
      </rPr>
      <t xml:space="preserve">Sources de financement attendues </t>
    </r>
  </si>
  <si>
    <r>
      <rPr>
        <sz val="10"/>
        <rFont val="Verdana"/>
        <family val="2"/>
      </rPr>
      <t>Contribution de l'UE/du FED sollicitée dans cette demande</t>
    </r>
    <r>
      <rPr>
        <b/>
        <sz val="10"/>
        <rFont val="Verdana"/>
        <family val="2"/>
      </rPr>
      <t xml:space="preserve"> (A)</t>
    </r>
  </si>
  <si>
    <r>
      <rPr>
        <sz val="10"/>
        <rFont val="Verdana"/>
        <family val="2"/>
      </rPr>
      <t>Autres contributions (demandeur, autres donateurs, etc.)</t>
    </r>
  </si>
  <si>
    <r>
      <rPr>
        <i/>
        <sz val="10"/>
        <rFont val="Verdana"/>
        <family val="2"/>
      </rPr>
      <t>Nom</t>
    </r>
  </si>
  <si>
    <r>
      <rPr>
        <i/>
        <sz val="10"/>
        <color theme="1"/>
        <rFont val="Verdana"/>
        <family val="2"/>
      </rPr>
      <t>Conditions</t>
    </r>
    <r>
      <rPr>
        <i/>
        <vertAlign val="superscript"/>
        <sz val="10"/>
        <color rgb="FF000000"/>
        <rFont val="Verdana"/>
        <family val="2"/>
      </rPr>
      <t>6</t>
    </r>
  </si>
  <si>
    <r>
      <rPr>
        <sz val="10"/>
        <rFont val="Verdana"/>
        <family val="2"/>
      </rPr>
      <t xml:space="preserve">Revenus de l'action </t>
    </r>
  </si>
  <si>
    <r>
      <rPr>
        <sz val="10"/>
        <rFont val="Verdana"/>
        <family val="2"/>
      </rPr>
      <t xml:space="preserve">À insérer si applicable et autorisé par les lignes directrices: </t>
    </r>
  </si>
  <si>
    <r>
      <rPr>
        <sz val="10"/>
        <rFont val="Verdana"/>
        <family val="2"/>
      </rPr>
      <t>Contributions en nature</t>
    </r>
    <r>
      <rPr>
        <vertAlign val="superscript"/>
        <sz val="10"/>
        <rFont val="Verdana"/>
        <family val="2"/>
      </rPr>
      <t xml:space="preserve">5 </t>
    </r>
  </si>
  <si>
    <r>
      <rPr>
        <sz val="10"/>
        <rFont val="Verdana"/>
        <family val="2"/>
      </rPr>
      <t>TOTAL DES CONTRIBUTIONS attendues</t>
    </r>
  </si>
  <si>
    <r>
      <rPr>
        <b/>
        <sz val="10"/>
        <rFont val="Verdana"/>
        <family val="2"/>
      </rPr>
      <t>Coûts estimés</t>
    </r>
  </si>
  <si>
    <r>
      <rPr>
        <sz val="10"/>
        <rFont val="Verdana"/>
        <family val="2"/>
      </rPr>
      <t>TOTAL DES COÛTS ÉLIGIBLES estimés</t>
    </r>
    <r>
      <rPr>
        <vertAlign val="superscript"/>
        <sz val="10"/>
        <rFont val="Verdana"/>
        <family val="2"/>
      </rPr>
      <t xml:space="preserve">2 </t>
    </r>
    <r>
      <rPr>
        <b/>
        <sz val="10"/>
        <rFont val="Verdana"/>
        <family val="2"/>
      </rPr>
      <t>(B)</t>
    </r>
  </si>
  <si>
    <r>
      <rPr>
        <sz val="9"/>
        <rFont val="Verdana"/>
        <family val="2"/>
      </rPr>
      <t>Contribution UE/FED exprimée en pourcentage du total des coûts éligibles</t>
    </r>
    <r>
      <rPr>
        <vertAlign val="superscript"/>
        <sz val="9"/>
        <rFont val="Verdana"/>
        <family val="2"/>
      </rPr>
      <t xml:space="preserve">4 </t>
    </r>
    <r>
      <rPr>
        <b/>
        <sz val="9"/>
        <rFont val="Verdana"/>
        <family val="2"/>
      </rPr>
      <t>(A/B x 100)</t>
    </r>
  </si>
  <si>
    <r>
      <rPr>
        <sz val="10"/>
        <color theme="1"/>
        <rFont val="Verdana"/>
        <family val="2"/>
      </rPr>
      <t xml:space="preserve">À insérer si applicable et autorisé par les lignes directrices: </t>
    </r>
  </si>
  <si>
    <r>
      <rPr>
        <sz val="10"/>
        <color theme="1"/>
        <rFont val="Verdana"/>
        <family val="2"/>
      </rPr>
      <t>Taxes/Contributions en nature</t>
    </r>
    <r>
      <rPr>
        <vertAlign val="superscript"/>
        <sz val="10"/>
        <color rgb="FF000000"/>
        <rFont val="Verdana"/>
        <family val="2"/>
      </rPr>
      <t xml:space="preserve">5 </t>
    </r>
  </si>
  <si>
    <r>
      <rPr>
        <sz val="10"/>
        <rFont val="Verdana"/>
        <family val="2"/>
      </rPr>
      <t>TOTAL DES COÛTS ACCEPTÉS estimés</t>
    </r>
    <r>
      <rPr>
        <vertAlign val="superscript"/>
        <sz val="10"/>
        <rFont val="Verdana"/>
        <family val="2"/>
      </rPr>
      <t xml:space="preserve">3 </t>
    </r>
    <r>
      <rPr>
        <b/>
        <sz val="10"/>
        <rFont val="Verdana"/>
        <family val="2"/>
      </rPr>
      <t>(C)</t>
    </r>
  </si>
  <si>
    <r>
      <rPr>
        <sz val="9"/>
        <rFont val="Verdana"/>
        <family val="2"/>
      </rPr>
      <t>Contribution UE/FED exprimée en pourcentage du total des coûts acceptés</t>
    </r>
    <r>
      <rPr>
        <vertAlign val="superscript"/>
        <sz val="9"/>
        <rFont val="Verdana"/>
        <family val="2"/>
      </rPr>
      <t xml:space="preserve">4 </t>
    </r>
    <r>
      <rPr>
        <b/>
        <sz val="9"/>
        <rFont val="Verdana"/>
        <family val="2"/>
      </rPr>
      <t>(A/C x 100)</t>
    </r>
  </si>
  <si>
    <r>
      <rPr>
        <sz val="10"/>
        <color theme="1"/>
        <rFont val="Times New Roman"/>
        <family val="1"/>
      </rPr>
      <t>1.  Les sources de financement attendues et les coûts estimés doivent être équilibrés. Il est rappelé que les montants inscrits dans ce tableau doivent respecter tous les points indiqués de la liste de contrôle concernant le formulaire de demande complète (point 7 du formulaire de demande complète).</t>
    </r>
  </si>
  <si>
    <r>
      <rPr>
        <sz val="10"/>
        <color theme="1"/>
        <rFont val="Times New Roman"/>
        <family val="1"/>
      </rPr>
      <t>2. Comme indiqué à la rubrique 11 du budget de l'action.</t>
    </r>
  </si>
  <si>
    <r>
      <rPr>
        <sz val="10"/>
        <color theme="1"/>
        <rFont val="Times New Roman"/>
        <family val="1"/>
      </rPr>
      <t>3. Comme indiqué à la rubrique 13 du budget de l'action.</t>
    </r>
  </si>
  <si>
    <r>
      <rPr>
        <sz val="10"/>
        <color theme="1"/>
        <rFont val="Times New Roman"/>
        <family val="1"/>
      </rPr>
      <t>4. Ne pas arrondir; indiquez les pourcentages avec 2 décimales (par ex. 74,38 %).</t>
    </r>
  </si>
  <si>
    <r>
      <rPr>
        <sz val="10"/>
        <color theme="1"/>
        <rFont val="Times New Roman"/>
        <family val="1"/>
      </rPr>
      <t>5.  Comme indiqué à la rubrique 12 du budget de l'action.</t>
    </r>
  </si>
  <si>
    <r>
      <rPr>
        <sz val="10"/>
        <color theme="1"/>
        <rFont val="Times New Roman"/>
        <family val="1"/>
      </rPr>
      <t>6. Voir point 17.4 b) des conditions générales</t>
    </r>
  </si>
  <si>
    <t>par mois</t>
  </si>
  <si>
    <t xml:space="preserve">   1.1.1 Personnel technique</t>
  </si>
  <si>
    <t xml:space="preserve">   1.1.2 Personnel administratif/d'appui</t>
  </si>
  <si>
    <r>
      <t>1.3 Per diems pour missions/voyages</t>
    </r>
    <r>
      <rPr>
        <b/>
        <vertAlign val="superscript"/>
        <sz val="10"/>
        <rFont val="Arial"/>
        <family val="2"/>
      </rPr>
      <t>5</t>
    </r>
  </si>
  <si>
    <t>Per diem</t>
  </si>
  <si>
    <t>Selon grille salariale Educo</t>
  </si>
  <si>
    <t>Le Chargé de projet est le cadre chargé de la coordination de l'exécution des programmes d'activités. Le budget du poste de  Chargé de projet durant 24 mois comprend le coût coûts complets.</t>
  </si>
  <si>
    <t>Selon grille salariale FEE-D</t>
  </si>
  <si>
    <t>Selon grille salariale ACDD</t>
  </si>
  <si>
    <t xml:space="preserve">   1.3.2 Sur place (personnel affecté à l’action)</t>
  </si>
  <si>
    <t xml:space="preserve">   1.3.1 À l'étranger (personnel affecté à l’action)</t>
  </si>
  <si>
    <t xml:space="preserve">Mission de coordination et suivi du projet zone Karimama ACDD. La prise en charge comprend les frais de restauration et d'hébergement </t>
  </si>
  <si>
    <t xml:space="preserve">Mission de coordination et suivi du projet zone Borgou + Sinendé FEE-D. La prise en charge comprend les frais de restauration et d'hébergement </t>
  </si>
  <si>
    <t xml:space="preserve">Mission de coordination et suivi du projet équipe Educo. La prise en charge comprend les frais de restauration et d'hébergement </t>
  </si>
  <si>
    <t>3.1 Achat ou location de véhicules</t>
  </si>
  <si>
    <t>par moto</t>
  </si>
  <si>
    <t>3.1.1 Achat Moto (01 moto X 01 agent) Educo</t>
  </si>
  <si>
    <t>3.1.2 Achat Moto (01 moto X 03 agents) ACDD</t>
  </si>
  <si>
    <t>3.1.3 Achat Moto (01 moto X 03 agents) FEE-D</t>
  </si>
  <si>
    <t>Equipements nécessaires pour les activités de terrain qui nécessitent des déplacements fréquents auprès des communautés, des acteurs étatiques et des bénéficiaires.</t>
  </si>
  <si>
    <t>Prix usuel constaté sur le marché</t>
  </si>
  <si>
    <t>Par jour</t>
  </si>
  <si>
    <t xml:space="preserve">Location de voiture necessaire vue l'étendue de la zone de projet et pour soutenir la réalisation des missions de terrain des partenaires n'ayant pas de voiture dédiée </t>
  </si>
  <si>
    <t>Prix usuel constaté sur le marché pour un jour de location</t>
  </si>
  <si>
    <t>Par Unité</t>
  </si>
  <si>
    <t>3.2 Mobilier, matériel informatique</t>
  </si>
  <si>
    <t>3.2.1 Ordinateur Chargé de Projet (1 ord. X 01 agent)  - Educo</t>
  </si>
  <si>
    <t>3.2.2 Imprimante Bureau Coordination Générale a Malanville - Educo</t>
  </si>
  <si>
    <t>3.2.5 Ordinateur Zone Karimama  (1 ord. X 03 agents) - ACDD</t>
  </si>
  <si>
    <t>3.2.8 Ordinateur Zone Borgou + Sinandé  (1 ord. X 03 agents) - FEE-D</t>
  </si>
  <si>
    <t>3.2.9 Clé USB 16G Zone Borgou + Sinandé  (1clé usb x 3 agents x 100%) - FEE-D</t>
  </si>
  <si>
    <t>3.2.10 Appareil Photo Zone Borgou + Sinandé  (1app x 01 bureau x 100%) - FEE-D</t>
  </si>
  <si>
    <t>3.2.6 Clé USB 16G Zone Karimama -  (1clé usb x 3 agents x 100%) - ACDD</t>
  </si>
  <si>
    <t>3.2.7 Appareil Photo Zone Karimama -  (1app x 01 bureau x 100%) - ACDD</t>
  </si>
  <si>
    <t>3.2.3 Clé de connexion internet Bureau Coordination Générale a Malanville - Chargé de Projet - Educo</t>
  </si>
  <si>
    <t>3.2.4 Mobilier de Bureau Coordination Générale a Malanville - Chargé de Projet - Educo</t>
  </si>
  <si>
    <t>Equipements informatiques  destinés aux équipes techniques et supports du projet</t>
  </si>
  <si>
    <t>3.3 Machines, outils, etc.</t>
  </si>
  <si>
    <t>3.4 Pièces détachées/matériel pour machines, outils</t>
  </si>
  <si>
    <t>3.5 Autres (préciser)</t>
  </si>
  <si>
    <t>Annuel</t>
  </si>
  <si>
    <t>4.1 Coût des véhicules</t>
  </si>
  <si>
    <t>4.1.3 Assurances Moto (1 moto X 02 années) - Educo</t>
  </si>
  <si>
    <t>4.1.6 Assurances Moto (01 moto X 03 agents x 02 ans) ACDD</t>
  </si>
  <si>
    <t>4.1.9 Assurances Moto (01 moto X 03 agents x 02 ans) FEE-D</t>
  </si>
  <si>
    <r>
      <t>TOTAL=</t>
    </r>
    <r>
      <rPr>
        <b/>
        <i/>
        <sz val="10"/>
        <rFont val="Arial"/>
        <family val="2"/>
      </rPr>
      <t>€218,67X02 ansX01 moto=€437,34</t>
    </r>
  </si>
  <si>
    <t>Produits et services nécessaires pour le fonctionnement et la mise en œuvre des activités du Projet dans la zone Karimama</t>
  </si>
  <si>
    <r>
      <t>TOTAL=</t>
    </r>
    <r>
      <rPr>
        <b/>
        <i/>
        <sz val="10"/>
        <rFont val="Arial"/>
        <family val="2"/>
      </rPr>
      <t>€218,67X02 ansX03 moto=€1 312,03</t>
    </r>
  </si>
  <si>
    <t>Produits et services nécessaires pour le fonctionnement et la mise en œuvre des activités du Projet dans la zone Nord d'intervention du prijet</t>
  </si>
  <si>
    <t>par Trimestre</t>
  </si>
  <si>
    <t xml:space="preserve">Carburant nécessaire pour les sorties terrain de Educo pour la mise en œuvre et le suivi des activités. </t>
  </si>
  <si>
    <t xml:space="preserve">Carburant nécessaire pour les sorties terrain de FEE-D pour la mise en œuvre et le suivi des activités. </t>
  </si>
  <si>
    <t>4.2 Location de bureaux</t>
  </si>
  <si>
    <t>1.3 Per diems pour missions/voyages</t>
  </si>
  <si>
    <t>4.3 Consommables - fournitures de bureau</t>
  </si>
  <si>
    <t xml:space="preserve">Contribution du projet au coût de location des bureaux. </t>
  </si>
  <si>
    <t xml:space="preserve">Contribution du projet au besoin en fournitures des bureaux </t>
  </si>
  <si>
    <t xml:space="preserve">2.2. Déplacements locaux </t>
  </si>
  <si>
    <t>2.1. Voyages internationaux</t>
  </si>
  <si>
    <t xml:space="preserve">   1.3.3 Participants aux séminaires/conférences</t>
  </si>
  <si>
    <t>4.4 Autres services (tél./fax, électricité/chauffage, entretien)</t>
  </si>
  <si>
    <t>4.4.1 Tel/fax</t>
  </si>
  <si>
    <t>4.4.2 Electricité</t>
  </si>
  <si>
    <t>4.4.3 Maintenance</t>
  </si>
  <si>
    <t>Contribution du Projet aux frais de téléphone et internet pour l'exécution du Projet Bureau Educo</t>
  </si>
  <si>
    <t>Contribution du Projet aux frais de téléphone et internet pour l'exécution du Projet Bureau FEE-D</t>
  </si>
  <si>
    <t>Contribution du Projet aux frais de téléphone et internet pour l'exécution du Projet Bureau ACDD</t>
  </si>
  <si>
    <t>Contribution du Projet aux frais de maintenance pour l'exécution du Projet Bureau Educo</t>
  </si>
  <si>
    <t>Contribution du Projet aux frais d'électricité et Eau pour l'exécution du Projet Bureau Educo</t>
  </si>
  <si>
    <t>Contribution du Projet aux frais d'électricité et Eau pour l'exécution du Projet Bureau ACDD</t>
  </si>
  <si>
    <t>Contribution du Projet aux frais de maintenance pour l'exécution du Projet Bureau FEE-D</t>
  </si>
  <si>
    <t>Contribution du Projet aux frais de maintenance pour l'exécution du Projet Bureau ACDD</t>
  </si>
  <si>
    <t>5.3 Audit/vérification des dépenses</t>
  </si>
  <si>
    <t xml:space="preserve">5.3.1 Audit de verification des depenses </t>
  </si>
  <si>
    <r>
      <t>5.2 Études, recherche</t>
    </r>
    <r>
      <rPr>
        <b/>
        <vertAlign val="superscript"/>
        <sz val="10"/>
        <rFont val="Arial"/>
        <family val="2"/>
      </rPr>
      <t>9</t>
    </r>
  </si>
  <si>
    <r>
      <t>5.1 Publications</t>
    </r>
    <r>
      <rPr>
        <b/>
        <vertAlign val="superscript"/>
        <sz val="10"/>
        <rFont val="Arial"/>
        <family val="2"/>
      </rPr>
      <t>9</t>
    </r>
  </si>
  <si>
    <t>Audit</t>
  </si>
  <si>
    <t>5.4.1 Coûts d'évaluation du projet</t>
  </si>
  <si>
    <t>5.4 Coûts d'évaluation</t>
  </si>
  <si>
    <t>Evaluation</t>
  </si>
  <si>
    <t>5.1 Publications</t>
  </si>
  <si>
    <t>5.2 Études, recherche</t>
  </si>
  <si>
    <t xml:space="preserve">Un Audit financier se fera en fin de projet  avec un cabinet  pour assurer un contrôle financier de l'Action </t>
  </si>
  <si>
    <t>5.5 Traduction, interprètes</t>
  </si>
  <si>
    <t>5.6 Services financiers (frais de garantie bancaire, etc.)</t>
  </si>
  <si>
    <t>5.6.1 Frais de tenue de compte Educo</t>
  </si>
  <si>
    <r>
      <t xml:space="preserve">Frais mensuels=€30,49
</t>
    </r>
    <r>
      <rPr>
        <b/>
        <i/>
        <sz val="10"/>
        <rFont val="Arial"/>
        <family val="2"/>
      </rPr>
      <t>TOTAL=€30,49X24 mois=€731,76</t>
    </r>
  </si>
  <si>
    <t>Frais financiers du partenaire de la zone de Karimama pendant 24 mois</t>
  </si>
  <si>
    <t>Frais financiers du Lead du Projet pendant 24 mois</t>
  </si>
  <si>
    <t>Frais financiers du partenaire de la zone de Borgou + Sinandé FEE-D pendant 24 mois</t>
  </si>
  <si>
    <t>5.6 Services financiers (coûts de garantie bancaire, etc.)</t>
  </si>
  <si>
    <t>5.6.2 Frais de tenue de compte ACDD</t>
  </si>
  <si>
    <t>5.6.3 Frais de tenue de compte FEE-D</t>
  </si>
  <si>
    <t>5.7 Coûts des conférences/séminaires</t>
  </si>
  <si>
    <t>5.8 Actions de visibilité</t>
  </si>
  <si>
    <r>
      <t>5.7 Coûts des conférences/séminaires</t>
    </r>
    <r>
      <rPr>
        <b/>
        <vertAlign val="superscript"/>
        <sz val="10"/>
        <rFont val="Arial"/>
        <family val="2"/>
      </rPr>
      <t>9</t>
    </r>
  </si>
  <si>
    <r>
      <t>5.8 Actions de visibilité</t>
    </r>
    <r>
      <rPr>
        <b/>
        <vertAlign val="superscript"/>
        <sz val="10"/>
        <rFont val="Arial"/>
        <family val="2"/>
      </rPr>
      <t>10</t>
    </r>
  </si>
  <si>
    <t>5.8.13 Autres articles de visibilité</t>
  </si>
  <si>
    <t>5.8.13.1 Production de Film du projet/Publi-reportage</t>
  </si>
  <si>
    <t>Forfait</t>
  </si>
  <si>
    <t>Confection d'un Banderole pour le lancement de la zone Nord Borgou + Sinandé FEE-D</t>
  </si>
  <si>
    <r>
      <t xml:space="preserve">Coût unitaire=€38,11
</t>
    </r>
    <r>
      <rPr>
        <b/>
        <i/>
        <sz val="10"/>
        <rFont val="Arial"/>
        <family val="2"/>
      </rPr>
      <t>TOTAL=€38,11X01 unité=€38,11</t>
    </r>
  </si>
  <si>
    <t>Confection d'articles de visibilité  dont 01 kakemono pour la Zone Nord Borgou + Sinandé FEE-D</t>
  </si>
  <si>
    <r>
      <t xml:space="preserve">Coût unitaire=€129,58
</t>
    </r>
    <r>
      <rPr>
        <b/>
        <i/>
        <sz val="10"/>
        <rFont val="Arial"/>
        <family val="2"/>
      </rPr>
      <t>TOTAL=€129,58X01 unité=€129,58</t>
    </r>
  </si>
  <si>
    <t>Confection d'articles de visibilité  dont 01 kakemono pour la Zone Nord Karimama ACDD</t>
  </si>
  <si>
    <t>Confection d'un Banderole pour le lancement de la zone Nord Karimama ACDD</t>
  </si>
  <si>
    <t>Confection d'un panneau d'indication dans le cadre de l'exécution du projet dans la zone Nord Karimama ACDD</t>
  </si>
  <si>
    <t>Réalisation d'un Publireportage</t>
  </si>
  <si>
    <t>6.1.1 : Réaliser une enquête CAP (Connaissances, Aptitudes, et Pratiques) en lien avec les problèmes liés aux actes de naissance</t>
  </si>
  <si>
    <t>6.1.2 : Concevoir des “boites à outils” en langues locales (Peulh, Dendi, Boo et Bariba) sur l’enregistrement des naissances</t>
  </si>
  <si>
    <t>6.1.3 : Former les Relais Communautaires (RC) à l’utilisation des “boites à images”</t>
  </si>
  <si>
    <t>6.1.4 : Organiser des séances de dialogues communautaires avec les leaders traditionnels et religieux sur l’enregistrement des naissances et les droits de l’enfant</t>
  </si>
  <si>
    <t>6.1.5 : Sensibiliser les parents et futurs parents (femmes enceintes et leurs conjoints ou familles), les groupements de producteurs et éleveurs (UCOPER),  les groupements de femmes, les collectifs des artisans, les bureaux Associations des Parents Elèves et Association des Mères d’Elèves sur les procédures d’obtention et l’utilité de l’acte de naissance</t>
  </si>
  <si>
    <t>6.1.6 : Sensibiliser les enfants et les jeunes lors des événements culturels</t>
  </si>
  <si>
    <t>6.1.7 : Diffuser les messages clés sur l’importance de l’acte de naissance, les procédures nécessaires à son établissement et son retrait à travers les spots et émissions radio communautaire et les réseaux sociaux</t>
  </si>
  <si>
    <t>Consultance</t>
  </si>
  <si>
    <r>
      <t>Honoraires consult =€167,69X01 consltX30 jrs=</t>
    </r>
    <r>
      <rPr>
        <b/>
        <i/>
        <sz val="10"/>
        <rFont val="Arial"/>
        <family val="2"/>
      </rPr>
      <t xml:space="preserve">€5 030,82 
</t>
    </r>
    <r>
      <rPr>
        <i/>
        <sz val="10"/>
        <rFont val="Arial"/>
        <family val="2"/>
      </rPr>
      <t xml:space="preserve">
</t>
    </r>
    <r>
      <rPr>
        <b/>
        <i/>
        <sz val="10"/>
        <rFont val="Arial"/>
        <family val="2"/>
      </rPr>
      <t>Atelier Pré-validation</t>
    </r>
    <r>
      <rPr>
        <i/>
        <sz val="10"/>
        <rFont val="Arial"/>
        <family val="2"/>
      </rPr>
      <t xml:space="preserve">
Déplacement participants=€7,62X30 participantsX 06 communes=</t>
    </r>
    <r>
      <rPr>
        <b/>
        <i/>
        <sz val="10"/>
        <rFont val="Arial"/>
        <family val="2"/>
      </rPr>
      <t>€1 372,04</t>
    </r>
    <r>
      <rPr>
        <i/>
        <sz val="10"/>
        <rFont val="Arial"/>
        <family val="2"/>
      </rPr>
      <t xml:space="preserve"> 
</t>
    </r>
    <r>
      <rPr>
        <b/>
        <i/>
        <sz val="10"/>
        <rFont val="Arial"/>
        <family val="2"/>
      </rPr>
      <t>Atelier validation</t>
    </r>
    <r>
      <rPr>
        <i/>
        <sz val="10"/>
        <rFont val="Arial"/>
        <family val="2"/>
      </rPr>
      <t xml:space="preserve">
Déplacement non résidents=€15,24X13 participantsX 02 zones=</t>
    </r>
    <r>
      <rPr>
        <b/>
        <i/>
        <sz val="10"/>
        <rFont val="Arial"/>
        <family val="2"/>
      </rPr>
      <t>€396,37</t>
    </r>
    <r>
      <rPr>
        <i/>
        <sz val="10"/>
        <rFont val="Arial"/>
        <family val="2"/>
      </rPr>
      <t xml:space="preserve">
Déplacement résidents=€4,57X05 participantsX 02 zones=€</t>
    </r>
    <r>
      <rPr>
        <b/>
        <i/>
        <sz val="10"/>
        <rFont val="Arial"/>
        <family val="2"/>
      </rPr>
      <t>45,73</t>
    </r>
    <r>
      <rPr>
        <i/>
        <sz val="10"/>
        <rFont val="Arial"/>
        <family val="2"/>
      </rPr>
      <t xml:space="preserve">
Prise en charge non résidents=€37,81X15 participantsX 02 zones=</t>
    </r>
    <r>
      <rPr>
        <b/>
        <i/>
        <sz val="10"/>
        <rFont val="Arial"/>
        <family val="2"/>
      </rPr>
      <t>€1 134,22</t>
    </r>
    <r>
      <rPr>
        <i/>
        <sz val="10"/>
        <rFont val="Arial"/>
        <family val="2"/>
      </rPr>
      <t xml:space="preserve">
Restau Atelier=€10,67X20 persX02 zones=</t>
    </r>
    <r>
      <rPr>
        <b/>
        <i/>
        <sz val="10"/>
        <rFont val="Arial"/>
        <family val="2"/>
      </rPr>
      <t>€426,86</t>
    </r>
    <r>
      <rPr>
        <i/>
        <sz val="10"/>
        <rFont val="Arial"/>
        <family val="2"/>
      </rPr>
      <t xml:space="preserve">
Frais de Rte Educo=</t>
    </r>
    <r>
      <rPr>
        <b/>
        <i/>
        <sz val="10"/>
        <rFont val="Arial"/>
        <family val="2"/>
      </rPr>
      <t>€17,23</t>
    </r>
    <r>
      <rPr>
        <i/>
        <sz val="10"/>
        <rFont val="Arial"/>
        <family val="2"/>
      </rPr>
      <t>X02 persX02 zones=</t>
    </r>
    <r>
      <rPr>
        <b/>
        <i/>
        <sz val="10"/>
        <rFont val="Arial"/>
        <family val="2"/>
      </rPr>
      <t>€68,91</t>
    </r>
    <r>
      <rPr>
        <i/>
        <sz val="10"/>
        <rFont val="Arial"/>
        <family val="2"/>
      </rPr>
      <t xml:space="preserve">
Forfait Carb véh =€76,22x1 véh=</t>
    </r>
    <r>
      <rPr>
        <b/>
        <i/>
        <sz val="10"/>
        <rFont val="Arial"/>
        <family val="2"/>
      </rPr>
      <t>€76,22</t>
    </r>
    <r>
      <rPr>
        <i/>
        <sz val="10"/>
        <rFont val="Arial"/>
        <family val="2"/>
      </rPr>
      <t xml:space="preserve">
</t>
    </r>
    <r>
      <rPr>
        <b/>
        <i/>
        <sz val="10"/>
        <rFont val="Arial"/>
        <family val="2"/>
      </rPr>
      <t>Total=8551,17</t>
    </r>
  </si>
  <si>
    <t>Outils</t>
  </si>
  <si>
    <t>Cf A.1.2</t>
  </si>
  <si>
    <t>Cf A.1.3</t>
  </si>
  <si>
    <t>Relais</t>
  </si>
  <si>
    <t>Villages</t>
  </si>
  <si>
    <t xml:space="preserve">6.1.4 : Organiser des séances de dialogues communautaires avec les leaders traditionnels et religieux sur l’enregistrement des naissances et les droits de l’enfant </t>
  </si>
  <si>
    <t>Cf A.1.4</t>
  </si>
  <si>
    <r>
      <t>Coût unitaire=</t>
    </r>
    <r>
      <rPr>
        <b/>
        <i/>
        <sz val="10"/>
        <rFont val="Arial"/>
        <family val="2"/>
      </rPr>
      <t>€3,05</t>
    </r>
    <r>
      <rPr>
        <i/>
        <sz val="10"/>
        <rFont val="Arial"/>
        <family val="2"/>
      </rPr>
      <t xml:space="preserve">
TOTAL=€3,05X179 villagesX 03 semestre=</t>
    </r>
    <r>
      <rPr>
        <b/>
        <i/>
        <sz val="10"/>
        <rFont val="Arial"/>
        <family val="2"/>
      </rPr>
      <t>€1 637,30</t>
    </r>
  </si>
  <si>
    <t>Cf A.1.5</t>
  </si>
  <si>
    <t>Cf A.1.6</t>
  </si>
  <si>
    <t>Enfant</t>
  </si>
  <si>
    <t>6.1.6 : Sensibiliser les enfants et les jeunes lors des événements culturels (70 enfantsX 06 communesX 04 semestres)</t>
  </si>
  <si>
    <t>Emissions</t>
  </si>
  <si>
    <t>6.1.7 : Diffuser les messages clés sur l’importance de l’acte de naissance, les procédures nécessaires à son établissement et son retrait à travers les spots et émissions radio communautaire et les réseaux sociaux (08 émissionsX03 Radios)</t>
  </si>
  <si>
    <t>Cf A.1.7</t>
  </si>
  <si>
    <r>
      <t>Honoraire Temps d'antenne Radio=€76,22X04 TrimestreX02 ansX01 Radio=</t>
    </r>
    <r>
      <rPr>
        <b/>
        <i/>
        <sz val="10"/>
        <rFont val="Arial"/>
        <family val="2"/>
      </rPr>
      <t>€609,80
'</t>
    </r>
    <r>
      <rPr>
        <i/>
        <sz val="10"/>
        <rFont val="Arial"/>
        <family val="2"/>
      </rPr>
      <t>Prise en charge CSEC=€7,62X04 TrimestreX02 ansX03 RadioX01 persX01 émission=</t>
    </r>
    <r>
      <rPr>
        <b/>
        <i/>
        <sz val="10"/>
        <rFont val="Arial"/>
        <family val="2"/>
      </rPr>
      <t xml:space="preserve">€182,94
</t>
    </r>
    <r>
      <rPr>
        <i/>
        <sz val="10"/>
        <rFont val="Arial"/>
        <family val="2"/>
      </rPr>
      <t xml:space="preserve">
</t>
    </r>
    <r>
      <rPr>
        <b/>
        <i/>
        <sz val="10"/>
        <rFont val="Arial"/>
        <family val="2"/>
      </rPr>
      <t>Total=792,73</t>
    </r>
  </si>
  <si>
    <t>6.2.1 Conduire un diagnostic participatif des  bonnes pratiques sur l’enregistrement des naissances dans les zones d’intervention</t>
  </si>
  <si>
    <t>6.2.2 Organiser des actions de plaidoyer pour la planification rigoureuse de l’état civil et l’amélioration des conditions de travail des secrétaires d’arrondissement auprès des élus communaux</t>
  </si>
  <si>
    <t xml:space="preserve">6.2.3 Susciter et accompagner la prise en compte de l’enregistrement des naissances au sein des Comités Communaux de Protection de l’Enfant </t>
  </si>
  <si>
    <t>6.2.4 Organiser des visites d’échanges de bonnes pratiques entre communes et départements sur l’enregistrement des naissances</t>
  </si>
  <si>
    <t>6.2.5 Organiser des sessions de formations des formateurs à l’endroit des CSEC des mairies et des facilitateurs du projet sur les standards et procédures opérationnelles</t>
  </si>
  <si>
    <t>6.2.6 Appuyer la formation des animateurs des centres secondaires et les secrétaires d’arrondissement sur les Standards et procédures opérationnelles (SOPs)</t>
  </si>
  <si>
    <t>6.2.7 Renforcer les capacités matérielles et du personnel de l’état civil des mairies sur la numérisation et l’archivage des actes de naissance (utilisation continue des logiciels existants) </t>
  </si>
  <si>
    <t>6.2.8 Accompagner le perfectionnement et la mise à l’échelle de l’initiative du RapidPro dans les communes du Borgou</t>
  </si>
  <si>
    <t>Cout/commune</t>
  </si>
  <si>
    <t>Rencontre/commune</t>
  </si>
  <si>
    <t>Cf A.2.2</t>
  </si>
  <si>
    <t>Acteurs</t>
  </si>
  <si>
    <t>Cf A.2.3</t>
  </si>
  <si>
    <t>Visites</t>
  </si>
  <si>
    <t>Cf A.2.4</t>
  </si>
  <si>
    <t>Cout/session</t>
  </si>
  <si>
    <t>Cf A.2.5</t>
  </si>
  <si>
    <t>Cout/Centre</t>
  </si>
  <si>
    <t>Cf A.2.6</t>
  </si>
  <si>
    <t>Equipement/Centre</t>
  </si>
  <si>
    <t>Cf A.2.7</t>
  </si>
  <si>
    <t>Ateliers</t>
  </si>
  <si>
    <t>Cf A.2.8</t>
  </si>
  <si>
    <r>
      <t>Pause Café Participants=€4,57X10 persX02 ansX03 ateliers=</t>
    </r>
    <r>
      <rPr>
        <b/>
        <i/>
        <sz val="10"/>
        <rFont val="Arial"/>
        <family val="2"/>
      </rPr>
      <t>€274,41
Prise en charge DGEC</t>
    </r>
    <r>
      <rPr>
        <i/>
        <sz val="10"/>
        <rFont val="Arial"/>
        <family val="2"/>
      </rPr>
      <t>=€15,24X01 persX02 ansX03 ateliers=</t>
    </r>
    <r>
      <rPr>
        <b/>
        <i/>
        <sz val="10"/>
        <rFont val="Arial"/>
        <family val="2"/>
      </rPr>
      <t xml:space="preserve">€91,47
'
</t>
    </r>
    <r>
      <rPr>
        <i/>
        <sz val="10"/>
        <rFont val="Arial"/>
        <family val="2"/>
      </rPr>
      <t xml:space="preserve">
</t>
    </r>
    <r>
      <rPr>
        <b/>
        <i/>
        <sz val="10"/>
        <rFont val="Arial"/>
        <family val="2"/>
      </rPr>
      <t>Total=€365,88</t>
    </r>
  </si>
  <si>
    <t>6.3.1 Recenser les enfants sans acte de naissance </t>
  </si>
  <si>
    <t>6.3.2 Organiser des campagnes de distribution massive d’actes non récupérés dans le cas d’enfants et familles vulnérables ou éloignées des centres d’état civil</t>
  </si>
  <si>
    <t>6.3.3 Organiser des audiences foraines pour les enfants et jeunes de moins de 18 ans</t>
  </si>
  <si>
    <t>Cf A.3.1</t>
  </si>
  <si>
    <r>
      <rPr>
        <b/>
        <i/>
        <sz val="10"/>
        <rFont val="Arial"/>
        <family val="2"/>
      </rPr>
      <t>Prise en charge Relais</t>
    </r>
    <r>
      <rPr>
        <i/>
        <sz val="10"/>
        <rFont val="Arial"/>
        <family val="2"/>
      </rPr>
      <t>=€7,62X01 relaisX303 villages=</t>
    </r>
    <r>
      <rPr>
        <b/>
        <i/>
        <sz val="10"/>
        <rFont val="Arial"/>
        <family val="2"/>
      </rPr>
      <t xml:space="preserve">€2 309,60
'
</t>
    </r>
    <r>
      <rPr>
        <i/>
        <sz val="10"/>
        <rFont val="Arial"/>
        <family val="2"/>
      </rPr>
      <t xml:space="preserve">
</t>
    </r>
    <r>
      <rPr>
        <b/>
        <i/>
        <sz val="10"/>
        <rFont val="Arial"/>
        <family val="2"/>
      </rPr>
      <t>Total=€2 309,60</t>
    </r>
  </si>
  <si>
    <t>Cf A.3.2</t>
  </si>
  <si>
    <t>Cf A.3.3</t>
  </si>
  <si>
    <t>5.8.7 Confection de panneaux d'indication (01 panneau bureau zone Borgou + Sinendé) - FEE-D</t>
  </si>
  <si>
    <r>
      <t>Prise en charge CSEC=€7,62X01 CSECX06 communesX04 semestres=</t>
    </r>
    <r>
      <rPr>
        <b/>
        <i/>
        <sz val="10"/>
        <rFont val="Arial"/>
        <family val="2"/>
      </rPr>
      <t>€182,94
'</t>
    </r>
    <r>
      <rPr>
        <i/>
        <sz val="10"/>
        <rFont val="Arial"/>
        <family val="2"/>
      </rPr>
      <t>Prise en charge Animateur=€15,24X01 persX03 séanceX06 communes</t>
    </r>
    <r>
      <rPr>
        <b/>
        <i/>
        <sz val="10"/>
        <rFont val="Arial"/>
        <family val="2"/>
      </rPr>
      <t xml:space="preserve">=€274,41
</t>
    </r>
    <r>
      <rPr>
        <i/>
        <sz val="10"/>
        <rFont val="Arial"/>
        <family val="2"/>
      </rPr>
      <t>'Prise en charge Enfants=€4,57X70 enfantsX06 communesX04 semestres</t>
    </r>
    <r>
      <rPr>
        <b/>
        <i/>
        <sz val="10"/>
        <rFont val="Arial"/>
        <family val="2"/>
      </rPr>
      <t>=€7 683,43</t>
    </r>
    <r>
      <rPr>
        <i/>
        <sz val="10"/>
        <rFont val="Arial"/>
        <family val="2"/>
      </rPr>
      <t xml:space="preserve">
</t>
    </r>
    <r>
      <rPr>
        <b/>
        <i/>
        <sz val="10"/>
        <rFont val="Arial"/>
        <family val="2"/>
      </rPr>
      <t>Total=€8 140,78</t>
    </r>
  </si>
  <si>
    <t>6.2.1 Conduire un diagnostic participatif des  bonnes pratiques sur l’enregistrement des naissances dans les zones d’intervention (01/commune pour 06 communes)</t>
  </si>
  <si>
    <t>Cf A.2.1</t>
  </si>
  <si>
    <r>
      <t>Honoraire Consutant=€167,69X20 jours=</t>
    </r>
    <r>
      <rPr>
        <b/>
        <i/>
        <sz val="10"/>
        <rFont val="Arial"/>
        <family val="2"/>
      </rPr>
      <t>€3 353,88
'</t>
    </r>
    <r>
      <rPr>
        <i/>
        <sz val="10"/>
        <rFont val="Arial"/>
        <family val="2"/>
      </rPr>
      <t>Prise en charge supervision DGEC=€99,09X05 jours=</t>
    </r>
    <r>
      <rPr>
        <b/>
        <i/>
        <sz val="10"/>
        <rFont val="Arial"/>
        <family val="2"/>
      </rPr>
      <t xml:space="preserve">€495,46
</t>
    </r>
    <r>
      <rPr>
        <i/>
        <sz val="10"/>
        <rFont val="Arial"/>
        <family val="2"/>
      </rPr>
      <t>Prise en charge participants Restitution=€18,29X01 jourX06 CommunesX35 participants=</t>
    </r>
    <r>
      <rPr>
        <b/>
        <i/>
        <sz val="10"/>
        <rFont val="Arial"/>
        <family val="2"/>
      </rPr>
      <t xml:space="preserve">€3 841,72
</t>
    </r>
    <r>
      <rPr>
        <i/>
        <sz val="10"/>
        <rFont val="Arial"/>
        <family val="2"/>
      </rPr>
      <t>Kit FournituresRestitution=€2,29X01 jourX06 CommunesX35 participants</t>
    </r>
    <r>
      <rPr>
        <b/>
        <i/>
        <sz val="10"/>
        <rFont val="Arial"/>
        <family val="2"/>
      </rPr>
      <t>=€480,21</t>
    </r>
    <r>
      <rPr>
        <i/>
        <sz val="10"/>
        <rFont val="Arial"/>
        <family val="2"/>
      </rPr>
      <t xml:space="preserve">
</t>
    </r>
    <r>
      <rPr>
        <b/>
        <i/>
        <sz val="10"/>
        <rFont val="Arial"/>
        <family val="2"/>
      </rPr>
      <t>Total=€8 171,27</t>
    </r>
  </si>
  <si>
    <r>
      <t>Cocktail Participants=€4,57X30 persX06 communes=</t>
    </r>
    <r>
      <rPr>
        <b/>
        <i/>
        <sz val="10"/>
        <rFont val="Arial"/>
        <family val="2"/>
      </rPr>
      <t>€823,22
'</t>
    </r>
    <r>
      <rPr>
        <i/>
        <sz val="10"/>
        <rFont val="Arial"/>
        <family val="2"/>
      </rPr>
      <t>Déplacement Participants=€7,62X30 persX06 communes=</t>
    </r>
    <r>
      <rPr>
        <b/>
        <i/>
        <sz val="10"/>
        <rFont val="Arial"/>
        <family val="2"/>
      </rPr>
      <t>€1 372,04
'</t>
    </r>
    <r>
      <rPr>
        <i/>
        <sz val="10"/>
        <rFont val="Arial"/>
        <family val="2"/>
      </rPr>
      <t>Couverture Médiatique=€15,24X03 RadiosX06 communes</t>
    </r>
    <r>
      <rPr>
        <b/>
        <i/>
        <sz val="10"/>
        <rFont val="Arial"/>
        <family val="2"/>
      </rPr>
      <t xml:space="preserve">=€274,41
</t>
    </r>
    <r>
      <rPr>
        <i/>
        <sz val="10"/>
        <rFont val="Arial"/>
        <family val="2"/>
      </rPr>
      <t xml:space="preserve">
</t>
    </r>
    <r>
      <rPr>
        <b/>
        <i/>
        <sz val="10"/>
        <rFont val="Arial"/>
        <family val="2"/>
      </rPr>
      <t>Total=€2 469,67</t>
    </r>
  </si>
  <si>
    <r>
      <t>Prise en charge Acteurs =€7,62X48 ActeursX07 Trimestre=</t>
    </r>
    <r>
      <rPr>
        <b/>
        <i/>
        <sz val="10"/>
        <rFont val="Arial"/>
        <family val="2"/>
      </rPr>
      <t xml:space="preserve">€2 561,14
</t>
    </r>
    <r>
      <rPr>
        <i/>
        <sz val="10"/>
        <rFont val="Arial"/>
        <family val="2"/>
      </rPr>
      <t xml:space="preserve">
</t>
    </r>
    <r>
      <rPr>
        <b/>
        <i/>
        <sz val="10"/>
        <rFont val="Arial"/>
        <family val="2"/>
      </rPr>
      <t>Total=€2 561,14</t>
    </r>
  </si>
  <si>
    <r>
      <t>Location Véhicule =€106,71X01 VisiteX06 jrsX02 ans=</t>
    </r>
    <r>
      <rPr>
        <b/>
        <i/>
        <sz val="10"/>
        <rFont val="Arial"/>
        <family val="2"/>
      </rPr>
      <t xml:space="preserve">€1 280,57
</t>
    </r>
    <r>
      <rPr>
        <i/>
        <sz val="10"/>
        <rFont val="Arial"/>
        <family val="2"/>
      </rPr>
      <t>Prise en charge Participants =€45,73X01 VisiteX06 jrsX02 ansX19 pers</t>
    </r>
    <r>
      <rPr>
        <b/>
        <i/>
        <sz val="10"/>
        <rFont val="Arial"/>
        <family val="2"/>
      </rPr>
      <t xml:space="preserve">=€10 427,51
</t>
    </r>
    <r>
      <rPr>
        <i/>
        <sz val="10"/>
        <rFont val="Arial"/>
        <family val="2"/>
      </rPr>
      <t>Prise en charge DGEC =€68,60X01 VisiteX06 jrsX02 ansX01 pers</t>
    </r>
    <r>
      <rPr>
        <b/>
        <i/>
        <sz val="10"/>
        <rFont val="Arial"/>
        <family val="2"/>
      </rPr>
      <t xml:space="preserve">=€823,22
</t>
    </r>
    <r>
      <rPr>
        <i/>
        <sz val="10"/>
        <rFont val="Arial"/>
        <family val="2"/>
      </rPr>
      <t>Couverture Médiatique =€457,35X01 VisiteX02 ansX01 Télé</t>
    </r>
    <r>
      <rPr>
        <b/>
        <i/>
        <sz val="10"/>
        <rFont val="Arial"/>
        <family val="2"/>
      </rPr>
      <t xml:space="preserve">=€914,69
</t>
    </r>
    <r>
      <rPr>
        <i/>
        <sz val="10"/>
        <rFont val="Arial"/>
        <family val="2"/>
      </rPr>
      <t xml:space="preserve">
</t>
    </r>
    <r>
      <rPr>
        <b/>
        <i/>
        <sz val="10"/>
        <rFont val="Arial"/>
        <family val="2"/>
      </rPr>
      <t>Total=€13 446</t>
    </r>
  </si>
  <si>
    <r>
      <t>Prise en charge participants =€68,60X01 sessionsX02 jrsX10 participants=</t>
    </r>
    <r>
      <rPr>
        <b/>
        <i/>
        <sz val="10"/>
        <rFont val="Arial"/>
        <family val="2"/>
      </rPr>
      <t xml:space="preserve">€1 372,04
</t>
    </r>
    <r>
      <rPr>
        <i/>
        <sz val="10"/>
        <rFont val="Arial"/>
        <family val="2"/>
      </rPr>
      <t>Restau Atelier =€10,67X01 sessionsX02 jrsX13 participants=</t>
    </r>
    <r>
      <rPr>
        <b/>
        <i/>
        <sz val="10"/>
        <rFont val="Arial"/>
        <family val="2"/>
      </rPr>
      <t xml:space="preserve">€277,46
</t>
    </r>
    <r>
      <rPr>
        <i/>
        <sz val="10"/>
        <rFont val="Arial"/>
        <family val="2"/>
      </rPr>
      <t>Honoraire Consultant =€167,69X03 jrsX01 personne</t>
    </r>
    <r>
      <rPr>
        <b/>
        <i/>
        <sz val="10"/>
        <rFont val="Arial"/>
        <family val="2"/>
      </rPr>
      <t xml:space="preserve">=€503,08
</t>
    </r>
    <r>
      <rPr>
        <i/>
        <sz val="10"/>
        <rFont val="Arial"/>
        <family val="2"/>
      </rPr>
      <t>Ordi Serveur =€914,69X01 Ordinateur</t>
    </r>
    <r>
      <rPr>
        <b/>
        <i/>
        <sz val="10"/>
        <rFont val="Arial"/>
        <family val="2"/>
      </rPr>
      <t xml:space="preserve">=€914,69
</t>
    </r>
    <r>
      <rPr>
        <i/>
        <sz val="10"/>
        <rFont val="Arial"/>
        <family val="2"/>
      </rPr>
      <t>Ordi Saisi =€609,80X01 Ordinateur</t>
    </r>
    <r>
      <rPr>
        <b/>
        <i/>
        <sz val="10"/>
        <rFont val="Arial"/>
        <family val="2"/>
      </rPr>
      <t xml:space="preserve">=€609,80
</t>
    </r>
    <r>
      <rPr>
        <i/>
        <sz val="10"/>
        <rFont val="Arial"/>
        <family val="2"/>
      </rPr>
      <t>Imprimante=€182,94X01 Imprimante</t>
    </r>
    <r>
      <rPr>
        <b/>
        <i/>
        <sz val="10"/>
        <rFont val="Arial"/>
        <family val="2"/>
      </rPr>
      <t xml:space="preserve">=€182,94
</t>
    </r>
    <r>
      <rPr>
        <i/>
        <sz val="10"/>
        <rFont val="Arial"/>
        <family val="2"/>
      </rPr>
      <t>Onduleur et Régulateur =€152,45X01 Unité</t>
    </r>
    <r>
      <rPr>
        <b/>
        <i/>
        <sz val="10"/>
        <rFont val="Arial"/>
        <family val="2"/>
      </rPr>
      <t xml:space="preserve">=€152,45
</t>
    </r>
    <r>
      <rPr>
        <i/>
        <sz val="10"/>
        <rFont val="Arial"/>
        <family val="2"/>
      </rPr>
      <t>Disc Dur =€83,85X01 Disc</t>
    </r>
    <r>
      <rPr>
        <b/>
        <i/>
        <sz val="10"/>
        <rFont val="Arial"/>
        <family val="2"/>
      </rPr>
      <t>=€83,85</t>
    </r>
    <r>
      <rPr>
        <i/>
        <sz val="10"/>
        <rFont val="Arial"/>
        <family val="2"/>
      </rPr>
      <t xml:space="preserve">
Total=</t>
    </r>
    <r>
      <rPr>
        <b/>
        <i/>
        <sz val="10"/>
        <rFont val="Arial"/>
        <family val="2"/>
      </rPr>
      <t>€4 096,31</t>
    </r>
  </si>
  <si>
    <r>
      <t>Frais de Communiqué Crieur=€3,05X01 CrieurX303 villages=</t>
    </r>
    <r>
      <rPr>
        <b/>
        <i/>
        <sz val="10"/>
        <rFont val="Arial"/>
        <family val="2"/>
      </rPr>
      <t xml:space="preserve">€923,84
</t>
    </r>
    <r>
      <rPr>
        <i/>
        <sz val="10"/>
        <rFont val="Arial"/>
        <family val="2"/>
      </rPr>
      <t>Prise en charge Acteurs=€4,57X02 ActeursX303 villages</t>
    </r>
    <r>
      <rPr>
        <b/>
        <i/>
        <sz val="10"/>
        <rFont val="Arial"/>
        <family val="2"/>
      </rPr>
      <t xml:space="preserve">=€2 771,52
'
</t>
    </r>
    <r>
      <rPr>
        <i/>
        <sz val="10"/>
        <rFont val="Arial"/>
        <family val="2"/>
      </rPr>
      <t xml:space="preserve">
</t>
    </r>
    <r>
      <rPr>
        <b/>
        <i/>
        <sz val="10"/>
        <rFont val="Arial"/>
        <family val="2"/>
      </rPr>
      <t>Total=€3 695,36</t>
    </r>
  </si>
  <si>
    <t>Cout/Audience</t>
  </si>
  <si>
    <t xml:space="preserve"> 1.1.1.4 Chargé de Projet Educo (1 X 100% X 24 mois)</t>
  </si>
  <si>
    <t>1.2 Salaires (montants bruts incluant les charges de sécurité sociale
et les autres coûts liés, personnel expatrié/international)</t>
  </si>
  <si>
    <t xml:space="preserve"> 1.1.2.2 Chauffeur Educo (1 X 10% X 24 mois)</t>
  </si>
  <si>
    <t>5.2.1 Réalisation étude CAP/Etude de Base</t>
  </si>
  <si>
    <r>
      <t xml:space="preserve"> 1.1.1.2 Responsable Thématique Protection de l'Enfant Educo (1 X </t>
    </r>
    <r>
      <rPr>
        <sz val="10"/>
        <color theme="1"/>
        <rFont val="Arial"/>
        <family val="2"/>
      </rPr>
      <t>5</t>
    </r>
    <r>
      <rPr>
        <sz val="10"/>
        <rFont val="Arial"/>
        <family val="2"/>
      </rPr>
      <t>% X 24 mois)</t>
    </r>
  </si>
  <si>
    <t xml:space="preserve"> 1.1.1.2 Responsable Thématique Protection de l'Enfant Educo (1 X 5% X 24 mois)</t>
  </si>
  <si>
    <t>Expert en Protection de l'Enfant d'educo, l'intéressé apportera un appui technique au projet. Pour cela il va consacrer 5% de son temps de travail à cela. Aussi, le coût y relatif est pris en compte dans le budget du projet durant 1,2 mois.</t>
  </si>
  <si>
    <t>Agent commis à temps partiel de 10% pour la conduite de l'équipe de la région Nord durant l'exécutio du projet.</t>
  </si>
  <si>
    <t>1.3.2.3 Missions Coordination et Suivi Educo (01 chargé de projet. 01 RT. 01 Comptable. 01CP. 01DN) (04 pers x 04 jrs x 12 missions)</t>
  </si>
  <si>
    <r>
      <t xml:space="preserve">  Taux perdiems=€47,72
 </t>
    </r>
    <r>
      <rPr>
        <b/>
        <i/>
        <sz val="10"/>
        <rFont val="Arial"/>
        <family val="2"/>
      </rPr>
      <t xml:space="preserve"> TOTAL= €47,72X04 jrsX04 pers.X12 missions
             = €9 162,24</t>
    </r>
  </si>
  <si>
    <r>
      <t>4.1.11 Contribution (</t>
    </r>
    <r>
      <rPr>
        <sz val="10"/>
        <color theme="1"/>
        <rFont val="Arial"/>
        <family val="2"/>
      </rPr>
      <t>20</t>
    </r>
    <r>
      <rPr>
        <sz val="10"/>
        <rFont val="Arial"/>
        <family val="2"/>
      </rPr>
      <t>%) Carburant Véhicule Mission suivi Coordination FEE-D</t>
    </r>
  </si>
  <si>
    <t>4.1.11 Contribution (20%) Carburant Véhicule Mission suivi Coordination FEE-D</t>
  </si>
  <si>
    <r>
      <t xml:space="preserve">Frais trimestriel=€457,35
</t>
    </r>
    <r>
      <rPr>
        <b/>
        <i/>
        <sz val="10"/>
        <rFont val="Arial"/>
        <family val="2"/>
      </rPr>
      <t>TOTAL=€457,35X04 trimestreX02 ansX20%=€731,76</t>
    </r>
  </si>
  <si>
    <r>
      <t xml:space="preserve">Coût mensuel=€76,22
</t>
    </r>
    <r>
      <rPr>
        <b/>
        <i/>
        <sz val="10"/>
        <rFont val="Arial"/>
        <family val="2"/>
      </rPr>
      <t>TOTAL=€76,22X24 moisX20%=€365,88</t>
    </r>
  </si>
  <si>
    <t>4.4.1.1 Contribution Téléphone Internet Bureau Malanville (20%) Educo</t>
  </si>
  <si>
    <t>4.4.1.2 Contribution Téléphone Internet Bureau (20%) FEE-D</t>
  </si>
  <si>
    <t>4.4.1.3 Contribution Téléphone Internet Bureau (20%) ACDD</t>
  </si>
  <si>
    <t>4.4.3.1 Contribution Maintenance Bureau Malanville (20%) Educo</t>
  </si>
  <si>
    <t>4.4.3.2 Contribution Maintenance Bureau (20%) FEE-D</t>
  </si>
  <si>
    <t>4.4.3.3 Contribution Maintenance Bureau (20%) ACDD</t>
  </si>
  <si>
    <r>
      <t xml:space="preserve">Coût mensuel=€45,73
</t>
    </r>
    <r>
      <rPr>
        <b/>
        <i/>
        <sz val="10"/>
        <rFont val="Arial"/>
        <family val="2"/>
      </rPr>
      <t>TOTAL=€45,73X24 moisX20%=€219,53</t>
    </r>
  </si>
  <si>
    <t xml:space="preserve">Réalisation d'une enquête CAP (Connaissances, Aptitudes, et Pratiques)/Etude de Base en lien avec les problèmes liés aux actes de naissance dans la zone d'intervention du Projet nécessitant l'engagement d'un consultant et le paiement des charges diverses </t>
  </si>
  <si>
    <r>
      <t xml:space="preserve">Honoraires audit =€7 622,45
</t>
    </r>
    <r>
      <rPr>
        <b/>
        <i/>
        <sz val="10"/>
        <rFont val="Arial"/>
        <family val="2"/>
      </rPr>
      <t>TOTAL=€7 622,45X01 année=€7 622,45</t>
    </r>
  </si>
  <si>
    <r>
      <t xml:space="preserve">Honoraires Evaluation =€7 622,45
</t>
    </r>
    <r>
      <rPr>
        <b/>
        <i/>
        <sz val="10"/>
        <rFont val="Arial"/>
        <family val="2"/>
      </rPr>
      <t>TOTAL=€7 622,45X01 année=€7 622,45</t>
    </r>
  </si>
  <si>
    <t>5.8.1 Confection de panneaux d'indication (03 panneaux bureau Malanville-Sinendé-Bembéréké) - Educo</t>
  </si>
  <si>
    <t xml:space="preserve">5.8.2 Confection de T-shirt (50 tee-shirt pour le lancement) </t>
  </si>
  <si>
    <t>5.8.3 Confection de Banderole (01 Banderole pour le lancement)</t>
  </si>
  <si>
    <t>5.8.4 Confection de panneaux d'indication (01 panneau bureau zone Karimama) -ACDD</t>
  </si>
  <si>
    <t>Confection de panneaux d'indication dans le cadre de l'exécution du projet dans la zone Nord au bureau d'Educo a Malanville-Sinendé-Bembéréké</t>
  </si>
  <si>
    <r>
      <t xml:space="preserve">Coût unitaire=€3,05
</t>
    </r>
    <r>
      <rPr>
        <b/>
        <i/>
        <sz val="10"/>
        <rFont val="Arial"/>
        <family val="2"/>
      </rPr>
      <t>TOTAL=€3,05X50 unités=€152,45</t>
    </r>
  </si>
  <si>
    <t>Confection de 50 T-shirts pour le lancement dans la zone Nord Malanville</t>
  </si>
  <si>
    <t>Confection d'un Banderole pour le lancement dans la zone Nord Malanville</t>
  </si>
  <si>
    <t>Coût unitaire=€38,11
TOTAL=€38,11X01 unité=€38,11</t>
  </si>
  <si>
    <r>
      <t xml:space="preserve">
FORFAIT</t>
    </r>
    <r>
      <rPr>
        <b/>
        <i/>
        <sz val="10"/>
        <rFont val="Arial"/>
        <family val="2"/>
      </rPr>
      <t>=€5 335,72</t>
    </r>
  </si>
  <si>
    <t>5.8.5 Confection de Kakemono (01 Kakemono pour la conduite des activités terrains) - ACDD</t>
  </si>
  <si>
    <t>5.8.6 Confection de Banderole (01 Banderole pour la conduite des activités terrains) - ACDD</t>
  </si>
  <si>
    <t>Confection d'un panneau d'indication dans le cadre de l'exécution du projet dans la zone Borgou + Sinendé - FEE-D</t>
  </si>
  <si>
    <t>5.8.8 Confection de Kakemono (01 Kakemono pour la conduite des activités terrains) - FEE-D</t>
  </si>
  <si>
    <t>5.8.9 Confection de Banderole (01 Banderole pour la conduite des activités terrains) - FEE-D</t>
  </si>
  <si>
    <r>
      <t xml:space="preserve">Coût unitaire=€106,71
</t>
    </r>
    <r>
      <rPr>
        <b/>
        <i/>
        <sz val="10"/>
        <rFont val="Arial"/>
        <family val="2"/>
      </rPr>
      <t>TOTAL=€106,71X03 unités=€320,14</t>
    </r>
  </si>
  <si>
    <r>
      <t xml:space="preserve">Coût unitaire=€106,71
</t>
    </r>
    <r>
      <rPr>
        <b/>
        <i/>
        <sz val="10"/>
        <rFont val="Arial"/>
        <family val="2"/>
      </rPr>
      <t>TOTAL=€106,71X01 unité=€106,71</t>
    </r>
  </si>
  <si>
    <t>3.1.4 Location Véhicule Mission suivi Coordination Educo (06 jrs x 12 missions x €106,71)</t>
  </si>
  <si>
    <t>3.1.5 Contribution 50% Location Véhicule Mission suivi Coordination ACDD (06 jrs x 01mission/trimestre x €106,71X50%)</t>
  </si>
  <si>
    <t>3.1.5 Contribution 50% Location Véhicule Mission suivi Coordination ACDD (06 jrs x 01mission/trimestre x €106,71)</t>
  </si>
  <si>
    <r>
      <t>6.1.3 : Former les Relais Communautaires (RC) à l’utilisation des “boites à images” (</t>
    </r>
    <r>
      <rPr>
        <sz val="10"/>
        <color theme="1"/>
        <rFont val="Arial"/>
        <family val="2"/>
      </rPr>
      <t>804</t>
    </r>
    <r>
      <rPr>
        <sz val="10"/>
        <rFont val="Arial"/>
        <family val="2"/>
      </rPr>
      <t xml:space="preserve"> relais dans 303 villages)</t>
    </r>
  </si>
  <si>
    <r>
      <t>Conception des Outils =€838,47X01 conslt=</t>
    </r>
    <r>
      <rPr>
        <b/>
        <i/>
        <sz val="10"/>
        <rFont val="Arial"/>
        <family val="2"/>
      </rPr>
      <t xml:space="preserve">€838,47
</t>
    </r>
    <r>
      <rPr>
        <i/>
        <sz val="10"/>
        <rFont val="Arial"/>
        <family val="2"/>
      </rPr>
      <t>Traduction en 04 Langues =€365,88X01 conslt</t>
    </r>
    <r>
      <rPr>
        <b/>
        <i/>
        <sz val="10"/>
        <rFont val="Arial"/>
        <family val="2"/>
      </rPr>
      <t xml:space="preserve">=€365,88
</t>
    </r>
    <r>
      <rPr>
        <i/>
        <sz val="10"/>
        <rFont val="Arial"/>
        <family val="2"/>
      </rPr>
      <t>Impression Boites a Images=€30,49X179 boites</t>
    </r>
    <r>
      <rPr>
        <b/>
        <i/>
        <sz val="10"/>
        <rFont val="Arial"/>
        <family val="2"/>
      </rPr>
      <t xml:space="preserve">=€5 457,67
</t>
    </r>
    <r>
      <rPr>
        <i/>
        <sz val="10"/>
        <rFont val="Arial"/>
        <family val="2"/>
      </rPr>
      <t>Impression Affiches GM=€30,49X06 Affiches</t>
    </r>
    <r>
      <rPr>
        <b/>
        <i/>
        <sz val="10"/>
        <rFont val="Arial"/>
        <family val="2"/>
      </rPr>
      <t xml:space="preserve">=€182,94
</t>
    </r>
    <r>
      <rPr>
        <i/>
        <sz val="10"/>
        <rFont val="Arial"/>
        <family val="2"/>
      </rPr>
      <t>Impression Affiches PM=€10,67X116 Affiches</t>
    </r>
    <r>
      <rPr>
        <b/>
        <i/>
        <sz val="10"/>
        <rFont val="Arial"/>
        <family val="2"/>
      </rPr>
      <t>=€1 237,89
TOTAL = €8 082,85</t>
    </r>
  </si>
  <si>
    <r>
      <t>Coût unitaire=</t>
    </r>
    <r>
      <rPr>
        <b/>
        <i/>
        <sz val="10"/>
        <rFont val="Arial"/>
        <family val="2"/>
      </rPr>
      <t>€4,57</t>
    </r>
    <r>
      <rPr>
        <i/>
        <sz val="10"/>
        <rFont val="Arial"/>
        <family val="2"/>
      </rPr>
      <t xml:space="preserve">
TOTAL=€4,57X303 villagesX01 RelaisX12 mois=</t>
    </r>
    <r>
      <rPr>
        <b/>
        <i/>
        <sz val="10"/>
        <rFont val="Arial"/>
        <family val="2"/>
      </rPr>
      <t>€16 629,14</t>
    </r>
  </si>
  <si>
    <r>
      <t>Prise en charge Juges et Collaborateurs=€121,96X01 juge + 01 CollaborateurX02 ans X04jrsX06 Communes=</t>
    </r>
    <r>
      <rPr>
        <b/>
        <i/>
        <sz val="10"/>
        <rFont val="Arial"/>
        <family val="2"/>
      </rPr>
      <t xml:space="preserve">€11 708,08
</t>
    </r>
    <r>
      <rPr>
        <i/>
        <sz val="10"/>
        <rFont val="Arial"/>
        <family val="2"/>
      </rPr>
      <t>Motivation Secrétaires d'Arrondissement=€7,62X03 SitesX06 communesX02 ans</t>
    </r>
    <r>
      <rPr>
        <b/>
        <i/>
        <sz val="10"/>
        <rFont val="Arial"/>
        <family val="2"/>
      </rPr>
      <t xml:space="preserve">=€274,41
</t>
    </r>
    <r>
      <rPr>
        <i/>
        <sz val="10"/>
        <rFont val="Arial"/>
        <family val="2"/>
      </rPr>
      <t>Transport Juges et Collaborateurs=€45,73X01 juge + 01 CollaborateurX02 ans X06 Communes</t>
    </r>
    <r>
      <rPr>
        <b/>
        <i/>
        <sz val="10"/>
        <rFont val="Arial"/>
        <family val="2"/>
      </rPr>
      <t xml:space="preserve">=€1 097,63
</t>
    </r>
    <r>
      <rPr>
        <i/>
        <sz val="10"/>
        <rFont val="Arial"/>
        <family val="2"/>
      </rPr>
      <t xml:space="preserve">
</t>
    </r>
    <r>
      <rPr>
        <b/>
        <i/>
        <sz val="10"/>
        <rFont val="Arial"/>
        <family val="2"/>
      </rPr>
      <t>Total=€13 080,13</t>
    </r>
  </si>
  <si>
    <t>Participants</t>
  </si>
  <si>
    <t>6.4. : Autres Couts des Activités</t>
  </si>
  <si>
    <t>6.4.1 : Atelier de Mise en Place du Plan de Suivi Evaluation</t>
  </si>
  <si>
    <t>6.4.2 : Rencontre Comité de Piltage</t>
  </si>
  <si>
    <t>A.4.3 : Atelier de lancement du Projet</t>
  </si>
  <si>
    <t>A.4.3.1 : Atelier de lancement du Projet/Prise en charge DGEC</t>
  </si>
  <si>
    <t>A.4.3.2 : Atelier de lancement du Projet/Prise en charge non Résidents Nord</t>
  </si>
  <si>
    <t>A.4.3.3 : Atelier de lancement du Projet/Déplacement Résidents Nord</t>
  </si>
  <si>
    <t>A.4.3.4 : Atelier de lancement du Projet/Restauration Participants</t>
  </si>
  <si>
    <t>Formation de l'Equipe sur un plan de suivi Evaluation</t>
  </si>
  <si>
    <r>
      <t>Déplacement non Résidents Nord=€7,62X21 personnes=</t>
    </r>
    <r>
      <rPr>
        <b/>
        <i/>
        <sz val="10"/>
        <rFont val="Arial"/>
        <family val="2"/>
      </rPr>
      <t xml:space="preserve">€160,07
</t>
    </r>
    <r>
      <rPr>
        <i/>
        <sz val="10"/>
        <rFont val="Arial"/>
        <family val="2"/>
      </rPr>
      <t>Prise en Charge non Résidents Nord=€22,87X21 personnesX04 jours</t>
    </r>
    <r>
      <rPr>
        <b/>
        <i/>
        <sz val="10"/>
        <rFont val="Arial"/>
        <family val="2"/>
      </rPr>
      <t xml:space="preserve">=€1 920,86
</t>
    </r>
    <r>
      <rPr>
        <i/>
        <sz val="10"/>
        <rFont val="Arial"/>
        <family val="2"/>
      </rPr>
      <t>Déplacement Résidents Nord=€5,34X27 personnesX03 jours</t>
    </r>
    <r>
      <rPr>
        <b/>
        <i/>
        <sz val="10"/>
        <rFont val="Arial"/>
        <family val="2"/>
      </rPr>
      <t xml:space="preserve">=€27,44
Pause Café + Déjuener=€2,29X04 personnesX03 jours=€432,19
</t>
    </r>
    <r>
      <rPr>
        <i/>
        <sz val="10"/>
        <rFont val="Arial"/>
        <family val="2"/>
      </rPr>
      <t xml:space="preserve">
</t>
    </r>
    <r>
      <rPr>
        <b/>
        <i/>
        <sz val="10"/>
        <rFont val="Arial"/>
        <family val="2"/>
      </rPr>
      <t>Total=€2 540,56</t>
    </r>
  </si>
  <si>
    <t>Rencontre de présentation de la siruation financière et l'état d'exécution des activités au comité de pilotage</t>
  </si>
  <si>
    <r>
      <t>Prise en Charge DGEC non Résidents=€68,60X01 personneX06 jours=</t>
    </r>
    <r>
      <rPr>
        <b/>
        <i/>
        <sz val="10"/>
        <rFont val="Arial"/>
        <family val="2"/>
      </rPr>
      <t>€411,61</t>
    </r>
    <r>
      <rPr>
        <i/>
        <sz val="10"/>
        <rFont val="Arial"/>
        <family val="2"/>
      </rPr>
      <t xml:space="preserve">
'Transport DGEC non Résidents=€30,49X01 personneX02 jours=</t>
    </r>
    <r>
      <rPr>
        <b/>
        <i/>
        <sz val="10"/>
        <rFont val="Arial"/>
        <family val="2"/>
      </rPr>
      <t>€60,98</t>
    </r>
    <r>
      <rPr>
        <i/>
        <sz val="10"/>
        <rFont val="Arial"/>
        <family val="2"/>
      </rPr>
      <t xml:space="preserve">
Déplacement non Résidents Nord=€15,24X18 personnesX01 jour=</t>
    </r>
    <r>
      <rPr>
        <b/>
        <i/>
        <sz val="10"/>
        <rFont val="Arial"/>
        <family val="2"/>
      </rPr>
      <t xml:space="preserve">€274,41
</t>
    </r>
    <r>
      <rPr>
        <i/>
        <sz val="10"/>
        <color theme="1"/>
        <rFont val="Arial"/>
        <family val="2"/>
      </rPr>
      <t>Prise en Charge non Résidents Nord=€41,23X18 personnesX01 jours</t>
    </r>
    <r>
      <rPr>
        <b/>
        <i/>
        <sz val="10"/>
        <color theme="1"/>
        <rFont val="Arial"/>
        <family val="2"/>
      </rPr>
      <t>=€742,28</t>
    </r>
    <r>
      <rPr>
        <b/>
        <i/>
        <sz val="10"/>
        <rFont val="Arial"/>
        <family val="2"/>
      </rPr>
      <t xml:space="preserve">
</t>
    </r>
    <r>
      <rPr>
        <i/>
        <sz val="10"/>
        <rFont val="Arial"/>
        <family val="2"/>
      </rPr>
      <t>Déplacement Résidents Nord=€4,57X01 personneX02 jours</t>
    </r>
    <r>
      <rPr>
        <b/>
        <i/>
        <sz val="10"/>
        <rFont val="Arial"/>
        <family val="2"/>
      </rPr>
      <t xml:space="preserve">=€9,15
</t>
    </r>
    <r>
      <rPr>
        <i/>
        <sz val="10"/>
        <rFont val="Arial"/>
        <family val="2"/>
      </rPr>
      <t>Pause Café + Déjuener=€10,67X22 personnesX02 jours=</t>
    </r>
    <r>
      <rPr>
        <b/>
        <i/>
        <sz val="10"/>
        <rFont val="Arial"/>
        <family val="2"/>
      </rPr>
      <t xml:space="preserve">€469,54
</t>
    </r>
    <r>
      <rPr>
        <i/>
        <sz val="10"/>
        <rFont val="Arial"/>
        <family val="2"/>
      </rPr>
      <t xml:space="preserve">
</t>
    </r>
    <r>
      <rPr>
        <b/>
        <i/>
        <sz val="10"/>
        <rFont val="Arial"/>
        <family val="2"/>
      </rPr>
      <t>Total=€1 913,97</t>
    </r>
  </si>
  <si>
    <r>
      <t>Prise en Charge DGEC non Résidents=€403,99X01 personne</t>
    </r>
    <r>
      <rPr>
        <b/>
        <i/>
        <sz val="10"/>
        <rFont val="Arial"/>
        <family val="2"/>
      </rPr>
      <t>=€403,99</t>
    </r>
  </si>
  <si>
    <r>
      <t>Prise en Charge non Résidents Nord=€106,71X30 personnesX01 jour</t>
    </r>
    <r>
      <rPr>
        <b/>
        <i/>
        <sz val="10"/>
        <rFont val="Arial"/>
        <family val="2"/>
      </rPr>
      <t>=€3 201,43</t>
    </r>
  </si>
  <si>
    <r>
      <t>Déplacement non Résidents Nord=€4,57X11 personnesX01 jour</t>
    </r>
    <r>
      <rPr>
        <b/>
        <i/>
        <sz val="10"/>
        <color theme="1"/>
        <rFont val="Arial"/>
        <family val="2"/>
      </rPr>
      <t>=€50,31</t>
    </r>
  </si>
  <si>
    <r>
      <t>Pause Café + Déjuener=€10,67X48 personnesX01 jour</t>
    </r>
    <r>
      <rPr>
        <b/>
        <i/>
        <sz val="10"/>
        <rFont val="Arial"/>
        <family val="2"/>
      </rPr>
      <t>=€512,23</t>
    </r>
  </si>
  <si>
    <t>Lancement du projet dans la zone Nord avec restauration &amp; héberg</t>
  </si>
  <si>
    <t>Lancement du projet dans la zone Nord avec Transport des Participants</t>
  </si>
  <si>
    <t>Lancement du projet dans la zone Nord avec Restauration participants</t>
  </si>
  <si>
    <t xml:space="preserve"> 1.1.1.1 Responsable Suivi-évaluation et Apprentissage Educo (1 X 3% X 24 mois)</t>
  </si>
  <si>
    <t xml:space="preserve"> 1.1.1.3 Chargé de Communication et Plaidoyer Educo (1 X 3% X 24 mois)</t>
  </si>
  <si>
    <t xml:space="preserve"> 1.1.1.5 Facilitateur principal de zone Karimama ACDD (1 X 100% X 23 mois)</t>
  </si>
  <si>
    <t xml:space="preserve"> 1.1.1.6 Facilitateur de zone Malanville ACDD (1 X 100% X 20 mois)</t>
  </si>
  <si>
    <t xml:space="preserve"> 1.1.1.7 Facilitateur de zone Ségbana ACDD (1 X 100% X 20 mois)</t>
  </si>
  <si>
    <t xml:space="preserve"> 1.1.1.8 Facilitateur principal de zone Borgou + Sinandé FEE-D (1 X 100% X 23 mois)</t>
  </si>
  <si>
    <t xml:space="preserve"> 1.1.1.9 Facilitateur de zone N'Dali FEE-D (1 X 100% X 20 mois)</t>
  </si>
  <si>
    <t xml:space="preserve"> 1.1.1.10 Facilitateur de zone Bembéréké FEE-D (1 X 100% X 20 mois)</t>
  </si>
  <si>
    <t>Expert en système de suivi-évaluation d'educo, l'intéressé apportera un appui technique au projet. Pour cela il va consacrer 3% de son temps de travail à cela. Aussi, le coût y relatif est pris en compte dans le budget du projet durant 0,72 mois.</t>
  </si>
  <si>
    <r>
      <t xml:space="preserve"> 1.1.1.1 Responsable Suivi-évaluation et Apprentissage Educo (1 X </t>
    </r>
    <r>
      <rPr>
        <sz val="10"/>
        <color theme="1"/>
        <rFont val="Arial"/>
        <family val="2"/>
      </rPr>
      <t>3</t>
    </r>
    <r>
      <rPr>
        <sz val="10"/>
        <rFont val="Arial"/>
        <family val="2"/>
      </rPr>
      <t>% X 24 mois)</t>
    </r>
  </si>
  <si>
    <t>Expert en Communication et Plaidoyer d'educo, l'intéressé apportera un appui technique au projet. Pour cela il va consacrer 3% de son temps de travail à cela. Aussi, le coût y relatif est pris en compte dans le budget du projet durant 0,72 mois.</t>
  </si>
  <si>
    <t>Cadre chargé de la supervision de la conduite des activités dans la zone dédiée. Il est employé à temps-plein par le projet. Le coût comprend, les charges salariales et patronales, pendant 23 mois.</t>
  </si>
  <si>
    <t>Chargé de la supervision de la conduite des activités dans la zone dédiée. Il est employé à temps-plein par le projet. Le coût comprend, les charges salariales et patronales, pendant 20 mois.</t>
  </si>
  <si>
    <t xml:space="preserve"> 1.1.2.1 Comptable Educo (1 X 10% X 24 mois)</t>
  </si>
  <si>
    <t xml:space="preserve"> 1.1.2.3 Comptable FEE-D (1 X 10% X 24 mois)</t>
  </si>
  <si>
    <t xml:space="preserve"> 1.1.2.4 Comptable ACDD (1 X 10% X 24 mois)</t>
  </si>
  <si>
    <t>Agent chargé d'assurer l'administration comptable et financière du projet en collaboration avec les structures comptables des partenaires locaux. Elle est employée à temps-partiel au projet de 10%.</t>
  </si>
  <si>
    <t>Agent chargé d'assurer l'administration comptable et financière du partenaire local FEE-D en collaboration avec le comptable du Lead Educo. Il est employée à temps-partiel au projet de 10%.</t>
  </si>
  <si>
    <t>Agent chargé d'assurer l'administration comptable et financière du partenaire local ACDD en collaboration avec le comptable du Lead Educo. Il est employée à temps-partiel au projet de 10%.</t>
  </si>
  <si>
    <t>1.3.2.1 Missions Coordination et Suivi Zone Karimama ACDD (01 Facilitateur principal. 01 DE) (02 pers x 02 jrs x 05 missions)</t>
  </si>
  <si>
    <t>1.3.2.2 Missions Coordination et Suivi Zone Borgou + Sinendé FEE-D (01 Facilitateur principal. 01 DE) (02 pers x 02 jrs x 05 missions)</t>
  </si>
  <si>
    <r>
      <t xml:space="preserve">  Taux perdiems=€47,72
 </t>
    </r>
    <r>
      <rPr>
        <b/>
        <i/>
        <sz val="10"/>
        <rFont val="Arial"/>
        <family val="2"/>
      </rPr>
      <t xml:space="preserve"> TOTAL= €47,72X2 jrsX02 pers.X05 missions
             = €954,40</t>
    </r>
  </si>
  <si>
    <t xml:space="preserve">  Taux perdiems=€47,72
  TOTAL= €47,72X2 jrsX02 pers.X05 missions
             = €954,40</t>
  </si>
  <si>
    <t>4.1.1 Entretien Moto (1 moto X 20 mois) - Educo</t>
  </si>
  <si>
    <t>4.1.2 Carburant Moto (1 moto X 20 mois) - Educo</t>
  </si>
  <si>
    <t>4.1.4 Entretien Moto (01 moto X 03 agents x 20 mois) ACDD</t>
  </si>
  <si>
    <t>4.1.5 Carburant Moto (01 moto X 03 agents x 20 mois) ACDD</t>
  </si>
  <si>
    <t>4.1.7 Entretien Moto (01 moto X 03 agents x 20 mois) FEE-D</t>
  </si>
  <si>
    <t>4.1.8 Carburant Moto (01 moto X 03 agents x 20 mois) FEE-D</t>
  </si>
  <si>
    <t>4.1.10 Contribution (25%) Carburant Véhicule Mission suivi Coordination Educo</t>
  </si>
  <si>
    <t xml:space="preserve">Entretien de la moto pendant 20 mois du fait qu'il faudra environ 04 mois pour remplir les procédures d'achat et de mise en circulation de la Moto </t>
  </si>
  <si>
    <r>
      <t xml:space="preserve">Coût mensuel=€15,24
</t>
    </r>
    <r>
      <rPr>
        <b/>
        <i/>
        <sz val="10"/>
        <rFont val="Arial"/>
        <family val="2"/>
      </rPr>
      <t>TOTAL=€15,24X20 mois=€304,90</t>
    </r>
  </si>
  <si>
    <r>
      <t>TOTAL=</t>
    </r>
    <r>
      <rPr>
        <b/>
        <i/>
        <sz val="10"/>
        <rFont val="Arial"/>
        <family val="2"/>
      </rPr>
      <t>€22,87X20 moisX01 motos=€457,35</t>
    </r>
  </si>
  <si>
    <r>
      <t xml:space="preserve">Coût mensuel=€15,24
</t>
    </r>
    <r>
      <rPr>
        <b/>
        <i/>
        <sz val="10"/>
        <rFont val="Arial"/>
        <family val="2"/>
      </rPr>
      <t>TOTAL=€15,24X20 moisX03 motos=€914,69</t>
    </r>
  </si>
  <si>
    <r>
      <t>TOTAL=</t>
    </r>
    <r>
      <rPr>
        <b/>
        <i/>
        <sz val="10"/>
        <rFont val="Arial"/>
        <family val="2"/>
      </rPr>
      <t>€22,87X20 moisX03 motos=€1 372,04</t>
    </r>
  </si>
  <si>
    <r>
      <t xml:space="preserve">Frais trimestriel=€457,35
</t>
    </r>
    <r>
      <rPr>
        <b/>
        <i/>
        <sz val="10"/>
        <rFont val="Arial"/>
        <family val="2"/>
      </rPr>
      <t>TOTAL=€457,35X04 trimestreX02 ansX25%=€914,69</t>
    </r>
  </si>
  <si>
    <t>4.2.1 Contribution Loyer Bureau Educo Malanville (10%)</t>
  </si>
  <si>
    <t>4.2.2 Contribution Loyer Bureau ACDD (10%)</t>
  </si>
  <si>
    <r>
      <t xml:space="preserve">Loyer mensuel=€152,45
</t>
    </r>
    <r>
      <rPr>
        <b/>
        <i/>
        <sz val="10"/>
        <rFont val="Arial"/>
        <family val="2"/>
      </rPr>
      <t>TOTAL=€152,45X24 moisX10%
            =€365,88</t>
    </r>
  </si>
  <si>
    <r>
      <t xml:space="preserve">Loyer mensuel=€45,73
</t>
    </r>
    <r>
      <rPr>
        <b/>
        <i/>
        <sz val="10"/>
        <rFont val="Arial"/>
        <family val="2"/>
      </rPr>
      <t>TOTAL=€45,73X24 moisX10%
            =€109,76</t>
    </r>
  </si>
  <si>
    <t>4.3.1 Fournitures de bureau Educo Malanville (10%)</t>
  </si>
  <si>
    <t>4.3.2 Fournitures de bureau FEE-D (10%)</t>
  </si>
  <si>
    <t>4.3.3 Fournitures de bureau ACDD (10%)</t>
  </si>
  <si>
    <r>
      <t xml:space="preserve">Coût mensuel=€76,22
</t>
    </r>
    <r>
      <rPr>
        <b/>
        <i/>
        <sz val="10"/>
        <rFont val="Arial"/>
        <family val="2"/>
      </rPr>
      <t>TOTAL=€76,22X24 moisX10%=€182,94</t>
    </r>
  </si>
  <si>
    <t xml:space="preserve">4.4.2.1 Contribution Electricité et Eau Bureau Malanville (15%) Educo </t>
  </si>
  <si>
    <t>4.4.2.2 Contribution Electricité et Eau Bureau (15%) ACDD</t>
  </si>
  <si>
    <r>
      <t xml:space="preserve">Coût mensuel=€114,34
</t>
    </r>
    <r>
      <rPr>
        <b/>
        <i/>
        <sz val="10"/>
        <rFont val="Arial"/>
        <family val="2"/>
      </rPr>
      <t>TOTAL=€114,34X24 moisX10%=€411,61</t>
    </r>
  </si>
  <si>
    <r>
      <t>Prise en charge non résidents=€37,81X12 participantsX 03 jrs=</t>
    </r>
    <r>
      <rPr>
        <b/>
        <i/>
        <sz val="10"/>
        <rFont val="Arial"/>
        <family val="2"/>
      </rPr>
      <t>€1 361,06</t>
    </r>
    <r>
      <rPr>
        <i/>
        <sz val="10"/>
        <rFont val="Arial"/>
        <family val="2"/>
      </rPr>
      <t xml:space="preserve">
Déplacement non résidents=€15,24X10 participantsX 03 jrs=</t>
    </r>
    <r>
      <rPr>
        <b/>
        <i/>
        <sz val="10"/>
        <rFont val="Arial"/>
        <family val="2"/>
      </rPr>
      <t>€457,35</t>
    </r>
    <r>
      <rPr>
        <i/>
        <sz val="10"/>
        <rFont val="Arial"/>
        <family val="2"/>
      </rPr>
      <t xml:space="preserve">
Prise en charge DGEC=€304,90X 01 pers=</t>
    </r>
    <r>
      <rPr>
        <b/>
        <i/>
        <sz val="10"/>
        <rFont val="Arial"/>
        <family val="2"/>
      </rPr>
      <t>€304,90</t>
    </r>
    <r>
      <rPr>
        <i/>
        <sz val="10"/>
        <rFont val="Arial"/>
        <family val="2"/>
      </rPr>
      <t xml:space="preserve">
Restau Atelier=€10,67X15 persX03 jrs=</t>
    </r>
    <r>
      <rPr>
        <b/>
        <i/>
        <sz val="10"/>
        <rFont val="Arial"/>
        <family val="2"/>
      </rPr>
      <t>€380,21</t>
    </r>
    <r>
      <rPr>
        <i/>
        <sz val="10"/>
        <rFont val="Arial"/>
        <family val="2"/>
      </rPr>
      <t xml:space="preserve">
Frais de Rte Educo=€17,23X02 pers=</t>
    </r>
    <r>
      <rPr>
        <b/>
        <i/>
        <sz val="10"/>
        <rFont val="Arial"/>
        <family val="2"/>
      </rPr>
      <t>€34,45</t>
    </r>
    <r>
      <rPr>
        <i/>
        <sz val="10"/>
        <rFont val="Arial"/>
        <family val="2"/>
      </rPr>
      <t xml:space="preserve">
Forfait Carb véh =€76,22x1 véh=</t>
    </r>
    <r>
      <rPr>
        <b/>
        <i/>
        <sz val="10"/>
        <rFont val="Arial"/>
        <family val="2"/>
      </rPr>
      <t xml:space="preserve">€76,22
</t>
    </r>
    <r>
      <rPr>
        <i/>
        <sz val="10"/>
        <rFont val="Arial"/>
        <family val="2"/>
      </rPr>
      <t>Restau Form RC=€10,67x (804 RC + 06 Facilitateurs)X 02jrs</t>
    </r>
    <r>
      <rPr>
        <b/>
        <i/>
        <sz val="10"/>
        <rFont val="Arial"/>
        <family val="2"/>
      </rPr>
      <t xml:space="preserve">=€17 287,72
</t>
    </r>
    <r>
      <rPr>
        <i/>
        <sz val="10"/>
        <rFont val="Arial"/>
        <family val="2"/>
      </rPr>
      <t xml:space="preserve">Transp Form RC=€3,05x 804 RCX 02jrs </t>
    </r>
    <r>
      <rPr>
        <b/>
        <i/>
        <sz val="10"/>
        <rFont val="Arial"/>
        <family val="2"/>
      </rPr>
      <t>=€4 902,76</t>
    </r>
    <r>
      <rPr>
        <i/>
        <sz val="10"/>
        <rFont val="Arial"/>
        <family val="2"/>
      </rPr>
      <t xml:space="preserve">
</t>
    </r>
    <r>
      <rPr>
        <b/>
        <i/>
        <sz val="10"/>
        <rFont val="Arial"/>
        <family val="2"/>
      </rPr>
      <t>Total=24 904,68</t>
    </r>
  </si>
  <si>
    <r>
      <t>Restau participants =€10,67X02 sessionsX03 jrsX02 ansX13 participants =</t>
    </r>
    <r>
      <rPr>
        <b/>
        <i/>
        <sz val="10"/>
        <rFont val="Arial"/>
        <family val="2"/>
      </rPr>
      <t xml:space="preserve">€1 547,36
</t>
    </r>
    <r>
      <rPr>
        <i/>
        <sz val="10"/>
        <rFont val="Arial"/>
        <family val="2"/>
      </rPr>
      <t>'Prise en charge non Résidants =€38,11X02 sessionsX04 jrsX02 ansX10 participants=</t>
    </r>
    <r>
      <rPr>
        <b/>
        <i/>
        <sz val="10"/>
        <rFont val="Arial"/>
        <family val="2"/>
      </rPr>
      <t xml:space="preserve">€6 097,96
</t>
    </r>
    <r>
      <rPr>
        <i/>
        <sz val="10"/>
        <rFont val="Arial"/>
        <family val="2"/>
      </rPr>
      <t>Prise en charge DGEC =€68,60X02 sessionsX04 jrsX02 ansX01 DGEC=</t>
    </r>
    <r>
      <rPr>
        <b/>
        <i/>
        <sz val="10"/>
        <rFont val="Arial"/>
        <family val="2"/>
      </rPr>
      <t xml:space="preserve">€1 097,63
</t>
    </r>
    <r>
      <rPr>
        <i/>
        <sz val="10"/>
        <rFont val="Arial"/>
        <family val="2"/>
      </rPr>
      <t>Transport DGEC =€60,98X02 ansX01 DGEC</t>
    </r>
    <r>
      <rPr>
        <b/>
        <i/>
        <sz val="10"/>
        <rFont val="Arial"/>
        <family val="2"/>
      </rPr>
      <t>=€121,96</t>
    </r>
    <r>
      <rPr>
        <i/>
        <sz val="10"/>
        <rFont val="Arial"/>
        <family val="2"/>
      </rPr>
      <t xml:space="preserve">
Total=</t>
    </r>
    <r>
      <rPr>
        <b/>
        <i/>
        <sz val="10"/>
        <rFont val="Arial"/>
        <family val="2"/>
      </rPr>
      <t>€4 498,77</t>
    </r>
  </si>
  <si>
    <r>
      <t>Restau participants =€10,67X03 sessionsX02 jrsX121 participants + 12 facilitateurs =</t>
    </r>
    <r>
      <rPr>
        <b/>
        <i/>
        <sz val="10"/>
        <rFont val="Arial"/>
        <family val="2"/>
      </rPr>
      <t xml:space="preserve">€7 875,52
</t>
    </r>
    <r>
      <rPr>
        <i/>
        <sz val="10"/>
        <rFont val="Arial"/>
        <family val="2"/>
      </rPr>
      <t>'Transp participants =€7,62X03 sessionsX02 jrsX121 participants=</t>
    </r>
    <r>
      <rPr>
        <b/>
        <i/>
        <sz val="10"/>
        <rFont val="Arial"/>
        <family val="2"/>
      </rPr>
      <t xml:space="preserve">€5 533,90
</t>
    </r>
    <r>
      <rPr>
        <i/>
        <sz val="10"/>
        <rFont val="Arial"/>
        <family val="2"/>
      </rPr>
      <t>Prise en charge CSEC =€3,05X03 sessionsX02 jrsX06 CSEC=</t>
    </r>
    <r>
      <rPr>
        <b/>
        <i/>
        <sz val="10"/>
        <rFont val="Arial"/>
        <family val="2"/>
      </rPr>
      <t>€109,76</t>
    </r>
    <r>
      <rPr>
        <i/>
        <sz val="10"/>
        <rFont val="Arial"/>
        <family val="2"/>
      </rPr>
      <t xml:space="preserve">
Equipement Centre=€107,78X121 centres=</t>
    </r>
    <r>
      <rPr>
        <b/>
        <i/>
        <sz val="10"/>
        <rFont val="Arial"/>
        <family val="2"/>
      </rPr>
      <t>€13 040,90</t>
    </r>
    <r>
      <rPr>
        <i/>
        <sz val="10"/>
        <rFont val="Arial"/>
        <family val="2"/>
      </rPr>
      <t xml:space="preserve">
Total=</t>
    </r>
    <r>
      <rPr>
        <b/>
        <i/>
        <sz val="10"/>
        <rFont val="Arial"/>
        <family val="2"/>
      </rPr>
      <t>€26 560,08</t>
    </r>
  </si>
  <si>
    <t>12. À ne remplir que lorsque des contributions en nature peuvent être acceptées en tant que co-financement. Le montant indiqué doit être identique à celui qui figure dans la feuille de calcul n° 3 «Sources de financement attendues».  La valeur du travail effectué par des bénévoles peut être reconnue comme une contribution en nature. Le travail effectué par des bénévoles peut représenter jusqu’à 50 % du cofinancement et sera déclaré en tant que coût unitaire (les coûts unitaires définis dans le budget et acceptés par l’administration contractante).</t>
  </si>
  <si>
    <t>6.2.6 Appuyer la formation et l'équipement des animateurs des centres secondaires et les secrétaires d’arrondissement sur les Standards et procédures opérationnelles (SOPs)</t>
  </si>
  <si>
    <t xml:space="preserve">Une évaluation se fera en milieu et en fin du projet  avec un cabinet  pour assurer un suivi-évaluation de l'Action </t>
  </si>
  <si>
    <t>6.1.5 : Sensibiliser les parents et futurs parents (femmes enceintes et leurs conjoints ou familles), les groupements de producteurs et éleveurs,  les groupements de femmes, les collectifs des artisans, les bureaux Associations des Parents Elèves et Association des Mères d’Elèves sur les procédures d’obtention et l’utilité de l’acte de naissance (02persX 303 villagesX 21 mois)</t>
  </si>
  <si>
    <t>Educo/Bénin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</si>
</sst>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6"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sz val="10"/>
      <name val="Verdana"/>
      <family val="2"/>
    </font>
    <font>
      <b/>
      <sz val="10"/>
      <name val="Verdana"/>
      <family val="2"/>
    </font>
    <font>
      <sz val="11"/>
      <color indexed="8"/>
      <name val="Verdana"/>
      <family val="2"/>
    </font>
    <font>
      <i/>
      <sz val="10"/>
      <name val="Verdana"/>
      <family val="2"/>
    </font>
    <font>
      <sz val="9"/>
      <name val="Verdana"/>
      <family val="2"/>
    </font>
    <font>
      <sz val="10"/>
      <color theme="1"/>
      <name val="Verdana"/>
      <family val="2"/>
    </font>
    <font>
      <b/>
      <sz val="10"/>
      <color theme="1"/>
      <name val="Verdana"/>
      <family val="2"/>
    </font>
    <font>
      <i/>
      <sz val="10"/>
      <color theme="1"/>
      <name val="Verdana"/>
      <family val="2"/>
    </font>
    <font>
      <sz val="10"/>
      <color theme="1"/>
      <name val="Arial"/>
      <family val="2"/>
    </font>
    <font>
      <sz val="11"/>
      <color theme="1"/>
      <name val="Calibri"/>
      <family val="2"/>
    </font>
    <font>
      <sz val="10"/>
      <color theme="1"/>
      <name val="Times New Roman"/>
      <family val="1"/>
    </font>
    <font>
      <b/>
      <sz val="10"/>
      <color theme="1"/>
      <name val="Arial"/>
      <family val="2"/>
    </font>
    <font>
      <b/>
      <vertAlign val="superscript"/>
      <sz val="12"/>
      <name val="Arial"/>
      <family val="2"/>
    </font>
    <font>
      <b/>
      <vertAlign val="superscript"/>
      <sz val="10"/>
      <name val="Arial"/>
      <family val="2"/>
    </font>
    <font>
      <b/>
      <vertAlign val="superscript"/>
      <sz val="10"/>
      <color rgb="FF000000"/>
      <name val="Arial"/>
      <family val="2"/>
    </font>
    <font>
      <vertAlign val="superscript"/>
      <sz val="10"/>
      <name val="Arial"/>
      <family val="2"/>
    </font>
    <font>
      <strike/>
      <sz val="10"/>
      <color rgb="FF000000"/>
      <name val="Arial"/>
      <family val="2"/>
    </font>
    <font>
      <sz val="10"/>
      <color rgb="FF000000"/>
      <name val="Arial"/>
      <family val="2"/>
    </font>
    <font>
      <vertAlign val="subscript"/>
      <sz val="10"/>
      <name val="Arial"/>
      <family val="2"/>
    </font>
    <font>
      <b/>
      <vertAlign val="superscript"/>
      <sz val="12"/>
      <name val="Verdana"/>
      <family val="2"/>
    </font>
    <font>
      <i/>
      <vertAlign val="superscript"/>
      <sz val="10"/>
      <color rgb="FF000000"/>
      <name val="Verdana"/>
      <family val="2"/>
    </font>
    <font>
      <vertAlign val="superscript"/>
      <sz val="10"/>
      <name val="Verdana"/>
      <family val="2"/>
    </font>
    <font>
      <vertAlign val="superscript"/>
      <sz val="9"/>
      <name val="Verdana"/>
      <family val="2"/>
    </font>
    <font>
      <b/>
      <sz val="9"/>
      <name val="Verdana"/>
      <family val="2"/>
    </font>
    <font>
      <vertAlign val="superscript"/>
      <sz val="10"/>
      <color rgb="FF000000"/>
      <name val="Verdana"/>
      <family val="2"/>
    </font>
    <font>
      <sz val="10"/>
      <name val="Arial"/>
      <family val="2"/>
    </font>
    <font>
      <b/>
      <sz val="10"/>
      <color rgb="FFFF0000"/>
      <name val="Arial"/>
      <family val="2"/>
    </font>
    <font>
      <sz val="10"/>
      <name val="Arial"/>
      <family val="2"/>
    </font>
    <font>
      <i/>
      <sz val="10"/>
      <color theme="1"/>
      <name val="Arial"/>
      <family val="2"/>
    </font>
    <font>
      <b/>
      <i/>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7" borderId="1" applyNumberFormat="0" applyAlignment="0" applyProtection="0"/>
    <xf numFmtId="0" fontId="12" fillId="20"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1" borderId="0" applyNumberFormat="0" applyBorder="0" applyAlignment="0" applyProtection="0"/>
    <xf numFmtId="0" fontId="1" fillId="0" borderId="0"/>
    <xf numFmtId="0" fontId="8" fillId="0" borderId="0"/>
    <xf numFmtId="0" fontId="8" fillId="22" borderId="7" applyNumberFormat="0" applyFont="0" applyAlignment="0" applyProtection="0"/>
    <xf numFmtId="0" fontId="21" fillId="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164" fontId="51" fillId="0" borderId="0" applyFont="0" applyFill="0" applyBorder="0" applyAlignment="0" applyProtection="0"/>
    <xf numFmtId="0" fontId="1" fillId="0" borderId="0"/>
    <xf numFmtId="9" fontId="53" fillId="0" borderId="0" applyFont="0" applyFill="0" applyBorder="0" applyAlignment="0" applyProtection="0"/>
  </cellStyleXfs>
  <cellXfs count="228">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xf numFmtId="0" fontId="2" fillId="23" borderId="11" xfId="0" applyFont="1" applyFill="1" applyBorder="1" applyAlignment="1">
      <alignment horizontal="center"/>
    </xf>
    <xf numFmtId="0" fontId="3" fillId="23" borderId="10" xfId="0" applyFont="1" applyFill="1" applyBorder="1" applyAlignment="1">
      <alignment horizontal="center"/>
    </xf>
    <xf numFmtId="0" fontId="3" fillId="23" borderId="10" xfId="0" applyFont="1" applyFill="1" applyBorder="1"/>
    <xf numFmtId="0" fontId="4" fillId="23" borderId="10" xfId="0" applyFont="1" applyFill="1" applyBorder="1" applyAlignment="1">
      <alignment horizontal="center"/>
    </xf>
    <xf numFmtId="0" fontId="4" fillId="23" borderId="10" xfId="0" applyFont="1" applyFill="1" applyBorder="1"/>
    <xf numFmtId="0" fontId="6" fillId="0" borderId="10" xfId="0" applyFont="1" applyBorder="1" applyAlignment="1">
      <alignment horizontal="center"/>
    </xf>
    <xf numFmtId="0" fontId="4" fillId="23" borderId="12" xfId="0" applyFont="1" applyFill="1" applyBorder="1" applyAlignment="1">
      <alignment horizontal="center"/>
    </xf>
    <xf numFmtId="0" fontId="4" fillId="23" borderId="12" xfId="0" applyFont="1" applyFill="1" applyBorder="1"/>
    <xf numFmtId="0" fontId="4" fillId="23" borderId="13" xfId="0" applyFont="1" applyFill="1" applyBorder="1"/>
    <xf numFmtId="0" fontId="6" fillId="23" borderId="12" xfId="0" applyFont="1" applyFill="1" applyBorder="1" applyAlignment="1">
      <alignment horizontal="center"/>
    </xf>
    <xf numFmtId="0" fontId="6" fillId="23" borderId="12" xfId="0" applyFont="1" applyFill="1" applyBorder="1"/>
    <xf numFmtId="0" fontId="6" fillId="23" borderId="13" xfId="0" applyFont="1" applyFill="1" applyBorder="1"/>
    <xf numFmtId="0" fontId="0" fillId="23" borderId="0" xfId="0" applyFill="1"/>
    <xf numFmtId="0" fontId="0" fillId="0" borderId="14" xfId="0" applyBorder="1" applyAlignment="1">
      <alignment wrapText="1"/>
    </xf>
    <xf numFmtId="0" fontId="0" fillId="0" borderId="0" xfId="0" applyAlignment="1">
      <alignment wrapText="1"/>
    </xf>
    <xf numFmtId="0" fontId="2" fillId="0" borderId="14" xfId="0" applyFont="1" applyBorder="1" applyAlignment="1">
      <alignment wrapText="1"/>
    </xf>
    <xf numFmtId="0" fontId="4" fillId="23" borderId="14" xfId="0" applyFont="1" applyFill="1" applyBorder="1" applyAlignment="1">
      <alignment wrapText="1"/>
    </xf>
    <xf numFmtId="0" fontId="6" fillId="0" borderId="15" xfId="0" applyFont="1" applyBorder="1"/>
    <xf numFmtId="0" fontId="6" fillId="0" borderId="15" xfId="0" applyFont="1" applyBorder="1" applyAlignment="1">
      <alignment horizontal="center"/>
    </xf>
    <xf numFmtId="0" fontId="0" fillId="0" borderId="18" xfId="0" applyBorder="1"/>
    <xf numFmtId="0" fontId="4" fillId="23" borderId="20" xfId="0" applyFont="1" applyFill="1" applyBorder="1" applyAlignment="1">
      <alignment horizontal="center"/>
    </xf>
    <xf numFmtId="0" fontId="4" fillId="23" borderId="20" xfId="0" applyFont="1" applyFill="1" applyBorder="1"/>
    <xf numFmtId="0" fontId="0" fillId="0" borderId="0" xfId="0" applyFill="1"/>
    <xf numFmtId="0" fontId="2" fillId="0" borderId="21" xfId="0" applyFont="1" applyBorder="1" applyAlignment="1">
      <alignment horizontal="center"/>
    </xf>
    <xf numFmtId="0" fontId="6" fillId="0" borderId="21" xfId="0" applyFont="1" applyBorder="1" applyAlignment="1">
      <alignment horizontal="center"/>
    </xf>
    <xf numFmtId="0" fontId="0" fillId="0" borderId="16" xfId="0" applyFill="1" applyBorder="1"/>
    <xf numFmtId="0" fontId="2" fillId="0" borderId="22" xfId="0" applyFont="1" applyFill="1" applyBorder="1"/>
    <xf numFmtId="0" fontId="4" fillId="23" borderId="23" xfId="0" applyFont="1" applyFill="1" applyBorder="1" applyAlignment="1">
      <alignment wrapText="1"/>
    </xf>
    <xf numFmtId="0" fontId="4" fillId="23" borderId="24" xfId="0" applyFont="1" applyFill="1" applyBorder="1" applyAlignment="1">
      <alignment horizontal="center"/>
    </xf>
    <xf numFmtId="0" fontId="4" fillId="23" borderId="24" xfId="0" applyFont="1" applyFill="1" applyBorder="1"/>
    <xf numFmtId="0" fontId="2" fillId="23" borderId="21" xfId="0" applyFont="1" applyFill="1" applyBorder="1"/>
    <xf numFmtId="0" fontId="4" fillId="23" borderId="21" xfId="0" applyFont="1" applyFill="1" applyBorder="1"/>
    <xf numFmtId="0" fontId="4" fillId="23" borderId="25" xfId="0" applyFont="1" applyFill="1" applyBorder="1" applyAlignment="1">
      <alignment wrapText="1"/>
    </xf>
    <xf numFmtId="0" fontId="4" fillId="23" borderId="26" xfId="0" applyFont="1" applyFill="1" applyBorder="1" applyAlignment="1">
      <alignment horizontal="center"/>
    </xf>
    <xf numFmtId="0" fontId="4" fillId="23" borderId="26" xfId="0" applyFont="1" applyFill="1" applyBorder="1"/>
    <xf numFmtId="0" fontId="4" fillId="23" borderId="27" xfId="0" applyFont="1" applyFill="1" applyBorder="1"/>
    <xf numFmtId="0" fontId="4" fillId="23" borderId="28" xfId="0" applyFont="1" applyFill="1" applyBorder="1" applyAlignment="1">
      <alignment horizontal="center"/>
    </xf>
    <xf numFmtId="0" fontId="6" fillId="0" borderId="29" xfId="0" applyFont="1" applyBorder="1" applyAlignment="1">
      <alignment horizontal="center"/>
    </xf>
    <xf numFmtId="0" fontId="6" fillId="0" borderId="12" xfId="0" applyFont="1" applyBorder="1"/>
    <xf numFmtId="0" fontId="6" fillId="0" borderId="13" xfId="0" applyFont="1" applyBorder="1"/>
    <xf numFmtId="0" fontId="0" fillId="0" borderId="21" xfId="0" applyBorder="1" applyAlignment="1">
      <alignment horizontal="center"/>
    </xf>
    <xf numFmtId="0" fontId="3" fillId="0" borderId="21" xfId="0" applyFont="1" applyBorder="1" applyAlignment="1">
      <alignment horizontal="center"/>
    </xf>
    <xf numFmtId="0" fontId="6" fillId="0" borderId="12" xfId="0" applyFont="1" applyBorder="1" applyAlignment="1">
      <alignment horizontal="center"/>
    </xf>
    <xf numFmtId="0" fontId="2" fillId="0" borderId="16" xfId="0" applyFont="1" applyBorder="1"/>
    <xf numFmtId="0" fontId="0" fillId="0" borderId="16" xfId="0" applyBorder="1"/>
    <xf numFmtId="0" fontId="6" fillId="0" borderId="16" xfId="0" applyFont="1" applyBorder="1"/>
    <xf numFmtId="0" fontId="3" fillId="0" borderId="16" xfId="0" applyFont="1" applyBorder="1"/>
    <xf numFmtId="0" fontId="2" fillId="0" borderId="14" xfId="0" applyFont="1" applyBorder="1" applyAlignment="1">
      <alignment vertical="center" wrapText="1"/>
    </xf>
    <xf numFmtId="0" fontId="2" fillId="24" borderId="30" xfId="0" applyFont="1" applyFill="1" applyBorder="1"/>
    <xf numFmtId="0" fontId="2" fillId="23" borderId="31" xfId="0" applyFont="1" applyFill="1" applyBorder="1" applyAlignment="1">
      <alignment vertical="center" wrapText="1"/>
    </xf>
    <xf numFmtId="0" fontId="1" fillId="0" borderId="0" xfId="37"/>
    <xf numFmtId="0" fontId="8" fillId="0" borderId="0" xfId="38"/>
    <xf numFmtId="0" fontId="6" fillId="0" borderId="0" xfId="37" applyFont="1"/>
    <xf numFmtId="0" fontId="6" fillId="0" borderId="0" xfId="37" applyFont="1" applyFill="1"/>
    <xf numFmtId="0" fontId="3" fillId="23" borderId="32" xfId="0" applyFont="1" applyFill="1" applyBorder="1" applyAlignment="1">
      <alignment horizontal="center" wrapText="1"/>
    </xf>
    <xf numFmtId="0" fontId="2" fillId="0" borderId="33" xfId="0" applyFont="1" applyFill="1" applyBorder="1" applyAlignment="1">
      <alignment horizontal="center" wrapText="1"/>
    </xf>
    <xf numFmtId="0" fontId="2" fillId="0" borderId="34" xfId="0" applyFont="1" applyFill="1" applyBorder="1" applyAlignment="1">
      <alignment wrapText="1"/>
    </xf>
    <xf numFmtId="0" fontId="6" fillId="27" borderId="29" xfId="0" applyFont="1" applyFill="1" applyBorder="1" applyAlignment="1">
      <alignment horizontal="center"/>
    </xf>
    <xf numFmtId="0" fontId="6" fillId="27" borderId="12" xfId="0" applyFont="1" applyFill="1" applyBorder="1"/>
    <xf numFmtId="0" fontId="6" fillId="27" borderId="13" xfId="0" applyFont="1" applyFill="1" applyBorder="1"/>
    <xf numFmtId="0" fontId="6" fillId="27" borderId="12" xfId="0" applyFont="1" applyFill="1" applyBorder="1" applyAlignment="1">
      <alignment horizontal="center"/>
    </xf>
    <xf numFmtId="0" fontId="0" fillId="27" borderId="18" xfId="0" applyFill="1" applyBorder="1"/>
    <xf numFmtId="0" fontId="5" fillId="0" borderId="0" xfId="0" applyFont="1" applyFill="1" applyBorder="1" applyAlignment="1">
      <alignment horizontal="left" vertical="top" wrapText="1"/>
    </xf>
    <xf numFmtId="0" fontId="6" fillId="27" borderId="35" xfId="0" applyFont="1" applyFill="1" applyBorder="1" applyAlignment="1">
      <alignment vertical="center" wrapText="1"/>
    </xf>
    <xf numFmtId="0" fontId="5" fillId="0" borderId="0" xfId="0" applyFont="1" applyFill="1" applyBorder="1" applyAlignment="1">
      <alignment horizontal="left" wrapText="1"/>
    </xf>
    <xf numFmtId="0" fontId="25" fillId="0" borderId="0" xfId="37" applyFont="1" applyAlignment="1">
      <alignment horizontal="left"/>
    </xf>
    <xf numFmtId="0" fontId="26" fillId="0" borderId="0" xfId="37" applyFont="1"/>
    <xf numFmtId="0" fontId="27" fillId="0" borderId="0" xfId="37" applyFont="1" applyAlignment="1">
      <alignment horizontal="left"/>
    </xf>
    <xf numFmtId="0" fontId="27" fillId="0" borderId="36" xfId="37" applyFont="1" applyBorder="1" applyAlignment="1">
      <alignment horizontal="left"/>
    </xf>
    <xf numFmtId="0" fontId="26" fillId="0" borderId="37" xfId="37" applyFont="1" applyBorder="1"/>
    <xf numFmtId="0" fontId="27" fillId="25" borderId="38" xfId="37" applyFont="1" applyFill="1" applyBorder="1" applyAlignment="1">
      <alignment horizontal="center"/>
    </xf>
    <xf numFmtId="0" fontId="27" fillId="25" borderId="39" xfId="37" applyFont="1" applyFill="1" applyBorder="1" applyAlignment="1">
      <alignment horizontal="center"/>
    </xf>
    <xf numFmtId="0" fontId="27" fillId="0" borderId="40" xfId="37" applyFont="1" applyBorder="1" applyAlignment="1">
      <alignment horizontal="left"/>
    </xf>
    <xf numFmtId="0" fontId="26" fillId="0" borderId="0" xfId="37" applyFont="1" applyBorder="1"/>
    <xf numFmtId="0" fontId="27" fillId="25" borderId="41" xfId="37" applyFont="1" applyFill="1" applyBorder="1" applyAlignment="1">
      <alignment horizontal="center" wrapText="1"/>
    </xf>
    <xf numFmtId="0" fontId="27" fillId="25" borderId="42" xfId="37" applyFont="1" applyFill="1" applyBorder="1" applyAlignment="1">
      <alignment horizontal="center" vertical="center"/>
    </xf>
    <xf numFmtId="0" fontId="27" fillId="25" borderId="31" xfId="37" applyFont="1" applyFill="1" applyBorder="1"/>
    <xf numFmtId="0" fontId="26" fillId="25" borderId="17" xfId="37" applyFont="1" applyFill="1" applyBorder="1"/>
    <xf numFmtId="0" fontId="26" fillId="23" borderId="0" xfId="37" applyFont="1" applyFill="1" applyBorder="1"/>
    <xf numFmtId="0" fontId="26" fillId="23" borderId="30" xfId="37" applyFont="1" applyFill="1" applyBorder="1"/>
    <xf numFmtId="0" fontId="26" fillId="0" borderId="40" xfId="37" applyFont="1" applyBorder="1"/>
    <xf numFmtId="0" fontId="26" fillId="0" borderId="40" xfId="37" applyFont="1" applyFill="1" applyBorder="1"/>
    <xf numFmtId="0" fontId="26" fillId="24" borderId="10" xfId="37" applyFont="1" applyFill="1" applyBorder="1"/>
    <xf numFmtId="0" fontId="28" fillId="0" borderId="0" xfId="38" applyFont="1" applyBorder="1"/>
    <xf numFmtId="0" fontId="29" fillId="0" borderId="34" xfId="37" applyFont="1" applyBorder="1"/>
    <xf numFmtId="0" fontId="29" fillId="0" borderId="14" xfId="37" applyFont="1" applyBorder="1"/>
    <xf numFmtId="0" fontId="26" fillId="0" borderId="28" xfId="37" applyFont="1" applyBorder="1"/>
    <xf numFmtId="0" fontId="26" fillId="0" borderId="14" xfId="37" applyFont="1" applyBorder="1"/>
    <xf numFmtId="0" fontId="26" fillId="26" borderId="43" xfId="37" applyFont="1" applyFill="1" applyBorder="1"/>
    <xf numFmtId="0" fontId="26" fillId="26" borderId="44" xfId="37" applyFont="1" applyFill="1" applyBorder="1"/>
    <xf numFmtId="0" fontId="26" fillId="28" borderId="40" xfId="37" applyFont="1" applyFill="1" applyBorder="1"/>
    <xf numFmtId="0" fontId="26" fillId="28" borderId="0" xfId="37" applyFont="1" applyFill="1" applyBorder="1"/>
    <xf numFmtId="0" fontId="26" fillId="0" borderId="0" xfId="37" applyFont="1" applyFill="1" applyBorder="1"/>
    <xf numFmtId="0" fontId="26" fillId="27" borderId="40" xfId="37" applyFont="1" applyFill="1" applyBorder="1" applyAlignment="1">
      <alignment wrapText="1"/>
    </xf>
    <xf numFmtId="0" fontId="26" fillId="27" borderId="0" xfId="37" applyFont="1" applyFill="1" applyBorder="1"/>
    <xf numFmtId="0" fontId="26" fillId="27" borderId="40" xfId="37" applyFont="1" applyFill="1" applyBorder="1"/>
    <xf numFmtId="0" fontId="26" fillId="27" borderId="44" xfId="37" applyFont="1" applyFill="1" applyBorder="1"/>
    <xf numFmtId="0" fontId="26" fillId="27" borderId="48" xfId="37" applyFont="1" applyFill="1" applyBorder="1"/>
    <xf numFmtId="0" fontId="26" fillId="27" borderId="49" xfId="37" applyFont="1" applyFill="1" applyBorder="1"/>
    <xf numFmtId="0" fontId="26" fillId="23" borderId="42" xfId="37" applyFont="1" applyFill="1" applyBorder="1"/>
    <xf numFmtId="0" fontId="28" fillId="0" borderId="0" xfId="38" applyFont="1"/>
    <xf numFmtId="0" fontId="30" fillId="27" borderId="43" xfId="37" applyFont="1" applyFill="1" applyBorder="1"/>
    <xf numFmtId="0" fontId="30" fillId="0" borderId="40" xfId="37" applyFont="1" applyFill="1" applyBorder="1"/>
    <xf numFmtId="0" fontId="31" fillId="25" borderId="17" xfId="37" applyFont="1" applyFill="1" applyBorder="1"/>
    <xf numFmtId="0" fontId="32" fillId="25" borderId="31" xfId="37" applyFont="1" applyFill="1" applyBorder="1"/>
    <xf numFmtId="0" fontId="33" fillId="0" borderId="50" xfId="37" applyFont="1" applyBorder="1"/>
    <xf numFmtId="0" fontId="31" fillId="26" borderId="43" xfId="37" applyFont="1" applyFill="1" applyBorder="1"/>
    <xf numFmtId="0" fontId="31" fillId="26" borderId="44" xfId="37" applyFont="1" applyFill="1" applyBorder="1"/>
    <xf numFmtId="0" fontId="31" fillId="23" borderId="0" xfId="37" applyFont="1" applyFill="1" applyBorder="1"/>
    <xf numFmtId="0" fontId="31" fillId="23" borderId="30" xfId="37" applyFont="1" applyFill="1" applyBorder="1"/>
    <xf numFmtId="0" fontId="34" fillId="0" borderId="0" xfId="37" applyFont="1"/>
    <xf numFmtId="0" fontId="35" fillId="0" borderId="0" xfId="38" applyFont="1"/>
    <xf numFmtId="0" fontId="31" fillId="28" borderId="40" xfId="37" applyFont="1" applyFill="1" applyBorder="1"/>
    <xf numFmtId="0" fontId="31" fillId="28" borderId="0" xfId="37" applyFont="1" applyFill="1" applyBorder="1"/>
    <xf numFmtId="0" fontId="31" fillId="24" borderId="10" xfId="37" applyFont="1" applyFill="1" applyBorder="1"/>
    <xf numFmtId="0" fontId="34" fillId="0" borderId="35" xfId="0" applyFont="1" applyBorder="1" applyAlignment="1">
      <alignment vertical="center" wrapText="1"/>
    </xf>
    <xf numFmtId="0" fontId="36" fillId="0" borderId="0" xfId="38" applyFont="1" applyBorder="1"/>
    <xf numFmtId="0" fontId="36" fillId="0" borderId="0" xfId="38" applyFont="1"/>
    <xf numFmtId="0" fontId="2" fillId="23" borderId="51" xfId="0" applyFont="1" applyFill="1" applyBorder="1" applyAlignment="1">
      <alignment horizontal="center" vertical="center"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6" fillId="0" borderId="23" xfId="0" applyFont="1" applyBorder="1" applyAlignment="1">
      <alignment wrapText="1"/>
    </xf>
    <xf numFmtId="0" fontId="0" fillId="0" borderId="24" xfId="0" applyBorder="1" applyAlignment="1">
      <alignment horizontal="center"/>
    </xf>
    <xf numFmtId="0" fontId="0" fillId="0" borderId="24" xfId="0" applyBorder="1"/>
    <xf numFmtId="0" fontId="0" fillId="0" borderId="21" xfId="0" applyBorder="1"/>
    <xf numFmtId="0" fontId="37" fillId="0" borderId="52" xfId="0" applyFont="1" applyBorder="1" applyAlignment="1">
      <alignment vertical="center" wrapText="1"/>
    </xf>
    <xf numFmtId="0" fontId="37" fillId="0" borderId="14" xfId="0" applyFont="1" applyBorder="1" applyAlignment="1">
      <alignment vertical="center" wrapText="1"/>
    </xf>
    <xf numFmtId="0" fontId="0" fillId="0" borderId="10" xfId="0" applyBorder="1" applyAlignment="1">
      <alignment vertical="center"/>
    </xf>
    <xf numFmtId="0" fontId="1" fillId="0" borderId="23" xfId="0" applyFont="1" applyBorder="1" applyAlignment="1">
      <alignment wrapText="1"/>
    </xf>
    <xf numFmtId="0" fontId="1" fillId="0" borderId="10" xfId="0" applyFont="1" applyBorder="1" applyAlignment="1">
      <alignment horizontal="center"/>
    </xf>
    <xf numFmtId="164" fontId="0" fillId="0" borderId="10" xfId="44" applyFont="1" applyBorder="1"/>
    <xf numFmtId="0" fontId="2" fillId="0" borderId="23" xfId="0" applyFont="1" applyBorder="1" applyAlignment="1">
      <alignment wrapText="1"/>
    </xf>
    <xf numFmtId="164" fontId="0" fillId="0" borderId="10" xfId="0" applyNumberFormat="1" applyBorder="1"/>
    <xf numFmtId="164" fontId="2" fillId="23" borderId="16" xfId="44" applyFont="1" applyFill="1" applyBorder="1"/>
    <xf numFmtId="0" fontId="1" fillId="0" borderId="10" xfId="0" applyFont="1" applyBorder="1" applyAlignment="1">
      <alignment horizontal="center" wrapText="1"/>
    </xf>
    <xf numFmtId="0" fontId="1" fillId="0" borderId="14" xfId="0" applyFont="1" applyBorder="1" applyAlignment="1">
      <alignment wrapText="1"/>
    </xf>
    <xf numFmtId="0" fontId="1" fillId="0" borderId="10" xfId="0" applyFont="1" applyBorder="1" applyAlignment="1">
      <alignment vertical="center"/>
    </xf>
    <xf numFmtId="0" fontId="1" fillId="0" borderId="14" xfId="0" applyFont="1" applyBorder="1" applyAlignment="1">
      <alignment vertical="center" wrapText="1"/>
    </xf>
    <xf numFmtId="164" fontId="2" fillId="23" borderId="16" xfId="0" applyNumberFormat="1" applyFont="1" applyFill="1" applyBorder="1"/>
    <xf numFmtId="0" fontId="3" fillId="29" borderId="16" xfId="0" applyFont="1" applyFill="1" applyBorder="1" applyAlignment="1">
      <alignment vertical="center" wrapText="1"/>
    </xf>
    <xf numFmtId="0" fontId="3" fillId="29" borderId="10" xfId="0" applyFont="1" applyFill="1" applyBorder="1" applyAlignment="1">
      <alignment horizontal="left" vertical="top" wrapText="1"/>
    </xf>
    <xf numFmtId="164" fontId="6" fillId="0" borderId="16" xfId="44" applyFont="1" applyBorder="1"/>
    <xf numFmtId="164" fontId="6" fillId="0" borderId="10" xfId="0" applyNumberFormat="1" applyFont="1" applyBorder="1"/>
    <xf numFmtId="164" fontId="2" fillId="0" borderId="22" xfId="44" applyFont="1" applyFill="1" applyBorder="1" applyAlignment="1">
      <alignment horizontal="right"/>
    </xf>
    <xf numFmtId="164" fontId="2" fillId="23" borderId="17" xfId="0" applyNumberFormat="1" applyFont="1" applyFill="1" applyBorder="1"/>
    <xf numFmtId="164" fontId="0" fillId="0" borderId="18" xfId="0" applyNumberFormat="1" applyBorder="1"/>
    <xf numFmtId="164" fontId="2" fillId="23" borderId="18" xfId="0" applyNumberFormat="1" applyFont="1" applyFill="1" applyBorder="1"/>
    <xf numFmtId="164" fontId="4" fillId="23" borderId="17" xfId="0" applyNumberFormat="1" applyFont="1" applyFill="1" applyBorder="1"/>
    <xf numFmtId="0" fontId="6" fillId="0" borderId="10" xfId="0" applyFont="1" applyBorder="1" applyAlignment="1">
      <alignment wrapText="1"/>
    </xf>
    <xf numFmtId="2" fontId="6" fillId="0" borderId="10" xfId="0" applyNumberFormat="1" applyFont="1" applyBorder="1"/>
    <xf numFmtId="0" fontId="3" fillId="29" borderId="16" xfId="0" applyFont="1" applyFill="1" applyBorder="1" applyAlignment="1">
      <alignment horizontal="left" vertical="center" wrapText="1"/>
    </xf>
    <xf numFmtId="0" fontId="3" fillId="29" borderId="16" xfId="0" applyFont="1" applyFill="1" applyBorder="1" applyAlignment="1">
      <alignment horizontal="left" vertical="center"/>
    </xf>
    <xf numFmtId="0" fontId="3" fillId="29" borderId="10" xfId="0" applyFont="1" applyFill="1" applyBorder="1" applyAlignment="1">
      <alignment horizontal="left" vertical="center" wrapText="1"/>
    </xf>
    <xf numFmtId="0" fontId="4" fillId="29" borderId="23" xfId="0" applyFont="1" applyFill="1" applyBorder="1" applyAlignment="1">
      <alignment vertical="center" wrapText="1"/>
    </xf>
    <xf numFmtId="164" fontId="0" fillId="0" borderId="24" xfId="0" applyNumberFormat="1" applyBorder="1"/>
    <xf numFmtId="164" fontId="0" fillId="0" borderId="21" xfId="0" applyNumberFormat="1" applyBorder="1"/>
    <xf numFmtId="0" fontId="1" fillId="0" borderId="14" xfId="0" applyFont="1" applyFill="1" applyBorder="1" applyAlignment="1">
      <alignment wrapText="1"/>
    </xf>
    <xf numFmtId="0" fontId="2" fillId="0" borderId="14" xfId="0" applyFont="1" applyFill="1" applyBorder="1" applyAlignment="1">
      <alignment wrapText="1"/>
    </xf>
    <xf numFmtId="0" fontId="3" fillId="29" borderId="16" xfId="0" applyFont="1" applyFill="1" applyBorder="1" applyAlignment="1">
      <alignment horizontal="left" vertical="top" wrapText="1"/>
    </xf>
    <xf numFmtId="0" fontId="1" fillId="0" borderId="15" xfId="0" applyFont="1" applyBorder="1" applyAlignment="1">
      <alignment horizontal="center"/>
    </xf>
    <xf numFmtId="164" fontId="1" fillId="0" borderId="15" xfId="0" applyNumberFormat="1" applyFont="1" applyBorder="1"/>
    <xf numFmtId="0" fontId="3" fillId="29" borderId="15" xfId="0" applyFont="1" applyFill="1" applyBorder="1" applyAlignment="1">
      <alignment horizontal="left" wrapText="1"/>
    </xf>
    <xf numFmtId="164" fontId="6" fillId="0" borderId="15" xfId="0" applyNumberFormat="1" applyFont="1" applyBorder="1"/>
    <xf numFmtId="0" fontId="3" fillId="29" borderId="14" xfId="0" applyFont="1" applyFill="1" applyBorder="1" applyAlignment="1">
      <alignment horizontal="left" wrapText="1"/>
    </xf>
    <xf numFmtId="0" fontId="3" fillId="29" borderId="15" xfId="0" applyFont="1" applyFill="1" applyBorder="1" applyAlignment="1">
      <alignment horizontal="left" vertical="center"/>
    </xf>
    <xf numFmtId="0" fontId="1" fillId="0" borderId="54" xfId="0" applyFont="1" applyBorder="1" applyAlignment="1">
      <alignment vertical="center" wrapText="1"/>
    </xf>
    <xf numFmtId="0" fontId="3" fillId="29" borderId="16" xfId="45" quotePrefix="1" applyFont="1" applyFill="1" applyBorder="1" applyAlignment="1">
      <alignment horizontal="left" vertical="top" wrapText="1"/>
    </xf>
    <xf numFmtId="0" fontId="1" fillId="0" borderId="10" xfId="0" applyFont="1" applyBorder="1" applyAlignment="1">
      <alignment horizontal="center" vertical="center" wrapText="1"/>
    </xf>
    <xf numFmtId="164" fontId="3" fillId="0" borderId="10" xfId="44" applyFont="1" applyBorder="1"/>
    <xf numFmtId="0" fontId="3" fillId="0" borderId="10" xfId="0" applyFont="1" applyBorder="1" applyAlignment="1">
      <alignment horizontal="left" vertical="center"/>
    </xf>
    <xf numFmtId="164" fontId="3" fillId="0" borderId="10" xfId="0" applyNumberFormat="1" applyFont="1" applyBorder="1"/>
    <xf numFmtId="0" fontId="1" fillId="27" borderId="35" xfId="0" applyFont="1" applyFill="1" applyBorder="1" applyAlignment="1">
      <alignment vertical="center" wrapText="1"/>
    </xf>
    <xf numFmtId="164" fontId="0" fillId="0" borderId="0" xfId="0" applyNumberFormat="1"/>
    <xf numFmtId="164" fontId="52" fillId="0" borderId="0" xfId="0" applyNumberFormat="1" applyFont="1"/>
    <xf numFmtId="0" fontId="1" fillId="27" borderId="31" xfId="0" applyFont="1" applyFill="1" applyBorder="1" applyAlignment="1">
      <alignment vertical="center" wrapText="1"/>
    </xf>
    <xf numFmtId="0" fontId="0" fillId="27" borderId="17" xfId="0" applyFill="1" applyBorder="1"/>
    <xf numFmtId="164" fontId="2" fillId="0" borderId="0" xfId="44" applyFont="1"/>
    <xf numFmtId="164" fontId="34" fillId="0" borderId="10" xfId="44" applyFont="1" applyBorder="1"/>
    <xf numFmtId="0" fontId="6" fillId="0" borderId="10" xfId="0" applyFont="1" applyBorder="1" applyAlignment="1">
      <alignment vertical="center"/>
    </xf>
    <xf numFmtId="0" fontId="34" fillId="0" borderId="23" xfId="0" applyFont="1" applyBorder="1" applyAlignment="1">
      <alignment wrapText="1"/>
    </xf>
    <xf numFmtId="164" fontId="6" fillId="29" borderId="16" xfId="44" applyFont="1" applyFill="1" applyBorder="1"/>
    <xf numFmtId="0" fontId="6" fillId="29" borderId="16" xfId="0" applyFont="1" applyFill="1" applyBorder="1"/>
    <xf numFmtId="0" fontId="0" fillId="29" borderId="16" xfId="0" applyFill="1" applyBorder="1"/>
    <xf numFmtId="0" fontId="3" fillId="29" borderId="28" xfId="45" quotePrefix="1" applyFont="1" applyFill="1" applyBorder="1" applyAlignment="1">
      <alignment horizontal="left" vertical="top" wrapText="1"/>
    </xf>
    <xf numFmtId="0" fontId="0" fillId="29" borderId="14" xfId="0" applyFill="1" applyBorder="1" applyAlignment="1">
      <alignment wrapText="1"/>
    </xf>
    <xf numFmtId="0" fontId="1" fillId="29" borderId="14" xfId="0" applyFont="1" applyFill="1" applyBorder="1" applyAlignment="1">
      <alignment wrapText="1"/>
    </xf>
    <xf numFmtId="0" fontId="2" fillId="29" borderId="14" xfId="0" applyFont="1" applyFill="1" applyBorder="1" applyAlignment="1">
      <alignment wrapText="1"/>
    </xf>
    <xf numFmtId="0" fontId="0" fillId="29" borderId="14" xfId="0" applyFill="1" applyBorder="1" applyAlignment="1">
      <alignment vertical="center" wrapText="1"/>
    </xf>
    <xf numFmtId="0" fontId="1" fillId="29" borderId="14" xfId="0" applyFont="1" applyFill="1" applyBorder="1" applyAlignment="1">
      <alignment vertical="center" wrapText="1"/>
    </xf>
    <xf numFmtId="0" fontId="4" fillId="29" borderId="14" xfId="0" applyFont="1" applyFill="1" applyBorder="1" applyAlignment="1">
      <alignment wrapText="1"/>
    </xf>
    <xf numFmtId="0" fontId="6" fillId="29" borderId="14" xfId="0" applyFont="1" applyFill="1" applyBorder="1" applyAlignment="1">
      <alignment wrapText="1"/>
    </xf>
    <xf numFmtId="0" fontId="6" fillId="29" borderId="14" xfId="0" applyFont="1" applyFill="1" applyBorder="1" applyAlignment="1">
      <alignment vertical="center" wrapText="1"/>
    </xf>
    <xf numFmtId="0" fontId="4" fillId="29" borderId="19" xfId="0" applyFont="1" applyFill="1" applyBorder="1" applyAlignment="1">
      <alignment wrapText="1"/>
    </xf>
    <xf numFmtId="0" fontId="2" fillId="0" borderId="0" xfId="0" applyFont="1"/>
    <xf numFmtId="9" fontId="52" fillId="0" borderId="0" xfId="46" applyFont="1"/>
    <xf numFmtId="164" fontId="26" fillId="24" borderId="10" xfId="44" applyFont="1" applyFill="1" applyBorder="1"/>
    <xf numFmtId="164" fontId="26" fillId="24" borderId="45" xfId="37" applyNumberFormat="1" applyFont="1" applyFill="1" applyBorder="1"/>
    <xf numFmtId="9" fontId="26" fillId="24" borderId="46" xfId="46" applyFont="1" applyFill="1" applyBorder="1"/>
    <xf numFmtId="164" fontId="26" fillId="24" borderId="47" xfId="37" applyNumberFormat="1" applyFont="1" applyFill="1" applyBorder="1"/>
    <xf numFmtId="0" fontId="34" fillId="0" borderId="10" xfId="0" applyFont="1" applyBorder="1" applyAlignment="1">
      <alignment horizontal="center"/>
    </xf>
    <xf numFmtId="0" fontId="2" fillId="0" borderId="0" xfId="0" applyFont="1" applyAlignment="1">
      <alignment wrapText="1"/>
    </xf>
    <xf numFmtId="0" fontId="34" fillId="0" borderId="0" xfId="0" applyFont="1" applyAlignment="1">
      <alignment wrapText="1"/>
    </xf>
    <xf numFmtId="0" fontId="6" fillId="0" borderId="0" xfId="0" applyFont="1" applyAlignment="1">
      <alignment wrapText="1"/>
    </xf>
    <xf numFmtId="0" fontId="0" fillId="0" borderId="0" xfId="0" applyAlignment="1">
      <alignment wrapText="1"/>
    </xf>
    <xf numFmtId="0" fontId="2" fillId="23" borderId="10" xfId="0" applyFont="1" applyFill="1" applyBorder="1" applyAlignment="1">
      <alignment horizontal="center" vertical="center"/>
    </xf>
    <xf numFmtId="0" fontId="0" fillId="0" borderId="10" xfId="0" applyBorder="1" applyAlignment="1">
      <alignment vertical="center"/>
    </xf>
    <xf numFmtId="0" fontId="2" fillId="24" borderId="10" xfId="0" applyFont="1" applyFill="1" applyBorder="1" applyAlignment="1">
      <alignment horizontal="center" vertical="center"/>
    </xf>
    <xf numFmtId="0" fontId="34" fillId="0" borderId="0" xfId="0" applyFont="1" applyAlignment="1">
      <alignment horizontal="left" wrapText="1"/>
    </xf>
    <xf numFmtId="0" fontId="1" fillId="0" borderId="15" xfId="0" applyFont="1" applyBorder="1" applyAlignment="1">
      <alignment horizontal="center" wrapText="1"/>
    </xf>
    <xf numFmtId="0" fontId="0" fillId="0" borderId="32" xfId="0" applyBorder="1" applyAlignment="1">
      <alignment horizontal="center" wrapText="1"/>
    </xf>
    <xf numFmtId="0" fontId="2" fillId="23" borderId="31" xfId="0" applyFont="1" applyFill="1" applyBorder="1" applyAlignment="1">
      <alignment horizontal="center"/>
    </xf>
    <xf numFmtId="0" fontId="0" fillId="0" borderId="12" xfId="0" applyBorder="1"/>
    <xf numFmtId="0" fontId="6" fillId="0" borderId="53" xfId="0" applyFont="1" applyBorder="1" applyAlignment="1">
      <alignment horizontal="center" wrapText="1"/>
    </xf>
    <xf numFmtId="0" fontId="6" fillId="0" borderId="32" xfId="0" applyFont="1" applyBorder="1" applyAlignment="1">
      <alignment horizontal="center" wrapText="1"/>
    </xf>
    <xf numFmtId="0" fontId="1" fillId="0" borderId="15" xfId="0" applyFont="1" applyBorder="1" applyAlignment="1">
      <alignment horizontal="center" vertical="center" wrapText="1"/>
    </xf>
    <xf numFmtId="0" fontId="6" fillId="0" borderId="3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2" xfId="0" applyFont="1" applyBorder="1" applyAlignment="1">
      <alignment horizontal="center" vertical="center" wrapText="1"/>
    </xf>
    <xf numFmtId="0" fontId="36" fillId="0" borderId="0" xfId="38" applyNumberFormat="1" applyFont="1" applyBorder="1" applyAlignment="1">
      <alignment wrapText="1"/>
    </xf>
    <xf numFmtId="0" fontId="36" fillId="0" borderId="0" xfId="0" applyFont="1" applyBorder="1" applyAlignment="1"/>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3" builtinId="11" customBuiltin="1"/>
    <cellStyle name="Calcul" xfId="26" builtinId="22" customBuiltin="1"/>
    <cellStyle name="Cellule liée" xfId="35" builtinId="24" customBuiltin="1"/>
    <cellStyle name="Entrée" xfId="34" builtinId="20" customBuiltin="1"/>
    <cellStyle name="Insatisfaisant" xfId="25" builtinId="27" customBuiltin="1"/>
    <cellStyle name="Milliers" xfId="44" builtinId="3"/>
    <cellStyle name="Neutre" xfId="36" builtinId="28" customBuiltin="1"/>
    <cellStyle name="Normal" xfId="0" builtinId="0"/>
    <cellStyle name="Normal 2" xfId="37" xr:uid="{00000000-0005-0000-0000-000020000000}"/>
    <cellStyle name="Normal 3" xfId="45" xr:uid="{00000000-0005-0000-0000-000021000000}"/>
    <cellStyle name="Normal_revised (2)" xfId="38" xr:uid="{00000000-0005-0000-0000-000022000000}"/>
    <cellStyle name="Note" xfId="39" builtinId="10" customBuiltin="1"/>
    <cellStyle name="Pourcentage" xfId="46" builtinId="5"/>
    <cellStyle name="Satisfaisant" xfId="29" builtinId="26" customBuiltin="1"/>
    <cellStyle name="Sortie" xfId="40" builtinId="21" customBuiltin="1"/>
    <cellStyle name="Texte explicatif" xfId="28" builtinId="53" customBuiltin="1"/>
    <cellStyle name="Titre" xfId="41" builtinId="15" customBuiltin="1"/>
    <cellStyle name="Titre 1" xfId="30" builtinId="16" customBuiltin="1"/>
    <cellStyle name="Titre 2" xfId="31" builtinId="17" customBuiltin="1"/>
    <cellStyle name="Titre 3" xfId="32" builtinId="18" customBuiltin="1"/>
    <cellStyle name="Titre 4" xfId="33" builtinId="19" customBuiltin="1"/>
    <cellStyle name="Total" xfId="42"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R355"/>
  <sheetViews>
    <sheetView showWhiteSpace="0" view="pageLayout" zoomScale="82" zoomScaleNormal="75" zoomScaleSheetLayoutView="100" zoomScalePageLayoutView="82" workbookViewId="0">
      <selection activeCell="B122" sqref="B122"/>
    </sheetView>
  </sheetViews>
  <sheetFormatPr baseColWidth="10" defaultColWidth="8.88671875" defaultRowHeight="13.2" x14ac:dyDescent="0.25"/>
  <cols>
    <col min="1" max="1" width="48.5546875" style="22" customWidth="1"/>
    <col min="2" max="2" width="13.109375" customWidth="1"/>
    <col min="3" max="3" width="11.88671875" customWidth="1"/>
    <col min="4" max="4" width="15.6640625" customWidth="1"/>
    <col min="5" max="5" width="19.5546875" customWidth="1"/>
    <col min="6" max="6" width="18.5546875" customWidth="1"/>
    <col min="7" max="8" width="11.88671875" customWidth="1"/>
    <col min="9" max="10" width="17.6640625" customWidth="1"/>
    <col min="11" max="11" width="13.5546875" bestFit="1" customWidth="1"/>
  </cols>
  <sheetData>
    <row r="1" spans="1:252" ht="24" customHeight="1" thickBot="1" x14ac:dyDescent="0.3">
      <c r="A1" s="70" t="s">
        <v>0</v>
      </c>
      <c r="B1" s="212" t="s">
        <v>1</v>
      </c>
      <c r="C1" s="213"/>
      <c r="D1" s="213"/>
      <c r="E1" s="213"/>
      <c r="F1" s="214" t="s">
        <v>2</v>
      </c>
      <c r="G1" s="213"/>
      <c r="H1" s="213"/>
      <c r="I1" s="213"/>
    </row>
    <row r="2" spans="1:252" s="20" customFormat="1" ht="48" customHeight="1" x14ac:dyDescent="0.25">
      <c r="A2" s="126" t="s">
        <v>3</v>
      </c>
      <c r="B2" s="127" t="s">
        <v>4</v>
      </c>
      <c r="C2" s="127" t="s">
        <v>5</v>
      </c>
      <c r="D2" s="128" t="s">
        <v>6</v>
      </c>
      <c r="E2" s="128" t="s">
        <v>7</v>
      </c>
      <c r="F2" s="127" t="s">
        <v>8</v>
      </c>
      <c r="G2" s="127" t="s">
        <v>9</v>
      </c>
      <c r="H2" s="128" t="s">
        <v>10</v>
      </c>
      <c r="I2" s="128" t="s">
        <v>11</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ht="15" customHeight="1" x14ac:dyDescent="0.25">
      <c r="A3" s="133" t="s">
        <v>12</v>
      </c>
      <c r="B3" s="4"/>
      <c r="C3" s="1"/>
      <c r="D3" s="1"/>
      <c r="E3" s="149"/>
      <c r="F3" s="4"/>
      <c r="G3" s="1"/>
      <c r="H3" s="1"/>
      <c r="I3" s="151"/>
    </row>
    <row r="4" spans="1:252" ht="28.8" x14ac:dyDescent="0.25">
      <c r="A4" s="129" t="s">
        <v>13</v>
      </c>
      <c r="B4" s="5"/>
      <c r="C4" s="2"/>
      <c r="D4" s="2"/>
      <c r="E4" s="149"/>
      <c r="F4" s="5"/>
      <c r="G4" s="2"/>
      <c r="H4" s="2"/>
      <c r="I4" s="151"/>
    </row>
    <row r="5" spans="1:252" x14ac:dyDescent="0.25">
      <c r="A5" s="139" t="s">
        <v>98</v>
      </c>
      <c r="B5" s="5"/>
      <c r="C5" s="2"/>
      <c r="D5" s="2"/>
      <c r="E5" s="149"/>
      <c r="F5" s="5"/>
      <c r="G5" s="2"/>
      <c r="H5" s="2"/>
      <c r="I5" s="151"/>
    </row>
    <row r="6" spans="1:252" ht="27" customHeight="1" x14ac:dyDescent="0.25">
      <c r="A6" s="136" t="s">
        <v>349</v>
      </c>
      <c r="B6" s="137" t="s">
        <v>97</v>
      </c>
      <c r="C6" s="185">
        <f>24*3%</f>
        <v>0.72</v>
      </c>
      <c r="D6" s="138">
        <f>969606/655.957</f>
        <v>1478.1548180749653</v>
      </c>
      <c r="E6" s="188">
        <f t="shared" ref="E6:E17" si="0">C6*D6</f>
        <v>1064.2714690139751</v>
      </c>
      <c r="F6" s="137" t="s">
        <v>97</v>
      </c>
      <c r="G6" s="138">
        <f>12*15%</f>
        <v>1.7999999999999998</v>
      </c>
      <c r="H6" s="140">
        <f t="shared" ref="H6:H28" si="1">D6</f>
        <v>1478.1548180749653</v>
      </c>
      <c r="I6" s="151">
        <f t="shared" ref="I6:I28" si="2">G6*H6</f>
        <v>2660.6786725349375</v>
      </c>
    </row>
    <row r="7" spans="1:252" ht="26.4" x14ac:dyDescent="0.25">
      <c r="A7" s="136" t="s">
        <v>276</v>
      </c>
      <c r="B7" s="137" t="s">
        <v>97</v>
      </c>
      <c r="C7" s="185">
        <f>24*5%</f>
        <v>1.2000000000000002</v>
      </c>
      <c r="D7" s="138">
        <f>969606/655.957</f>
        <v>1478.1548180749653</v>
      </c>
      <c r="E7" s="188">
        <f t="shared" si="0"/>
        <v>1773.7857816899586</v>
      </c>
      <c r="F7" s="137" t="s">
        <v>97</v>
      </c>
      <c r="G7" s="138">
        <f>12*15%</f>
        <v>1.7999999999999998</v>
      </c>
      <c r="H7" s="140">
        <f t="shared" si="1"/>
        <v>1478.1548180749653</v>
      </c>
      <c r="I7" s="151">
        <f t="shared" si="2"/>
        <v>2660.6786725349375</v>
      </c>
    </row>
    <row r="8" spans="1:252" ht="26.4" x14ac:dyDescent="0.25">
      <c r="A8" s="187" t="s">
        <v>341</v>
      </c>
      <c r="B8" s="137" t="s">
        <v>97</v>
      </c>
      <c r="C8" s="185">
        <f>24*3%</f>
        <v>0.72</v>
      </c>
      <c r="D8" s="138">
        <f>969606/655.957</f>
        <v>1478.1548180749653</v>
      </c>
      <c r="E8" s="188">
        <f t="shared" si="0"/>
        <v>1064.2714690139751</v>
      </c>
      <c r="F8" s="137" t="s">
        <v>97</v>
      </c>
      <c r="G8" s="138">
        <f>1*12*20%</f>
        <v>2.4000000000000004</v>
      </c>
      <c r="H8" s="140">
        <f t="shared" si="1"/>
        <v>1478.1548180749653</v>
      </c>
      <c r="I8" s="151">
        <f t="shared" si="2"/>
        <v>3547.5715633799173</v>
      </c>
    </row>
    <row r="9" spans="1:252" x14ac:dyDescent="0.25">
      <c r="A9" s="187" t="s">
        <v>272</v>
      </c>
      <c r="B9" s="137" t="s">
        <v>97</v>
      </c>
      <c r="C9" s="185">
        <f>24*100%</f>
        <v>24</v>
      </c>
      <c r="D9" s="185">
        <f>500000/655.957</f>
        <v>762.24508618705192</v>
      </c>
      <c r="E9" s="188">
        <f t="shared" si="0"/>
        <v>18293.882068489245</v>
      </c>
      <c r="F9" s="137" t="s">
        <v>97</v>
      </c>
      <c r="G9" s="138">
        <f>12*100%</f>
        <v>12</v>
      </c>
      <c r="H9" s="140">
        <f t="shared" si="1"/>
        <v>762.24508618705192</v>
      </c>
      <c r="I9" s="151">
        <f t="shared" si="2"/>
        <v>9146.9410342446226</v>
      </c>
    </row>
    <row r="10" spans="1:252" ht="26.4" x14ac:dyDescent="0.25">
      <c r="A10" s="187" t="s">
        <v>342</v>
      </c>
      <c r="B10" s="137" t="s">
        <v>97</v>
      </c>
      <c r="C10" s="185">
        <f>23*100%</f>
        <v>23</v>
      </c>
      <c r="D10" s="185">
        <f>300000/655.957</f>
        <v>457.34705171223112</v>
      </c>
      <c r="E10" s="188">
        <f t="shared" si="0"/>
        <v>10518.982189381315</v>
      </c>
      <c r="F10" s="137" t="s">
        <v>97</v>
      </c>
      <c r="G10" s="138">
        <f t="shared" ref="G10:G15" si="3">12*100%</f>
        <v>12</v>
      </c>
      <c r="H10" s="140">
        <f t="shared" si="1"/>
        <v>457.34705171223112</v>
      </c>
      <c r="I10" s="151">
        <f t="shared" si="2"/>
        <v>5488.1646205467732</v>
      </c>
    </row>
    <row r="11" spans="1:252" ht="26.4" x14ac:dyDescent="0.25">
      <c r="A11" s="187" t="s">
        <v>343</v>
      </c>
      <c r="B11" s="137" t="s">
        <v>97</v>
      </c>
      <c r="C11" s="185">
        <f>20*100%</f>
        <v>20</v>
      </c>
      <c r="D11" s="185">
        <f>250000/655.957</f>
        <v>381.12254309352596</v>
      </c>
      <c r="E11" s="188">
        <f t="shared" si="0"/>
        <v>7622.4508618705195</v>
      </c>
      <c r="F11" s="137" t="s">
        <v>97</v>
      </c>
      <c r="G11" s="138">
        <f t="shared" si="3"/>
        <v>12</v>
      </c>
      <c r="H11" s="140">
        <f t="shared" si="1"/>
        <v>381.12254309352596</v>
      </c>
      <c r="I11" s="151">
        <f t="shared" si="2"/>
        <v>4573.4705171223113</v>
      </c>
    </row>
    <row r="12" spans="1:252" ht="26.4" x14ac:dyDescent="0.25">
      <c r="A12" s="187" t="s">
        <v>344</v>
      </c>
      <c r="B12" s="137" t="s">
        <v>97</v>
      </c>
      <c r="C12" s="185">
        <f>20*100%</f>
        <v>20</v>
      </c>
      <c r="D12" s="185">
        <f t="shared" ref="D12:D15" si="4">250000/655.957</f>
        <v>381.12254309352596</v>
      </c>
      <c r="E12" s="188">
        <f t="shared" ref="E12:E15" si="5">C12*D12</f>
        <v>7622.4508618705195</v>
      </c>
      <c r="F12" s="137" t="s">
        <v>97</v>
      </c>
      <c r="G12" s="138">
        <f t="shared" si="3"/>
        <v>12</v>
      </c>
      <c r="H12" s="140">
        <f t="shared" ref="H12:H15" si="6">D12</f>
        <v>381.12254309352596</v>
      </c>
      <c r="I12" s="151">
        <f t="shared" ref="I12:I15" si="7">G12*H12</f>
        <v>4573.4705171223113</v>
      </c>
    </row>
    <row r="13" spans="1:252" ht="26.4" x14ac:dyDescent="0.25">
      <c r="A13" s="187" t="s">
        <v>345</v>
      </c>
      <c r="B13" s="137" t="s">
        <v>97</v>
      </c>
      <c r="C13" s="185">
        <f t="shared" ref="C13" si="8">23*100%</f>
        <v>23</v>
      </c>
      <c r="D13" s="185">
        <f>300000/655.957</f>
        <v>457.34705171223112</v>
      </c>
      <c r="E13" s="188">
        <f t="shared" si="5"/>
        <v>10518.982189381315</v>
      </c>
      <c r="F13" s="137" t="s">
        <v>97</v>
      </c>
      <c r="G13" s="138">
        <f t="shared" si="3"/>
        <v>12</v>
      </c>
      <c r="H13" s="140">
        <f t="shared" si="6"/>
        <v>457.34705171223112</v>
      </c>
      <c r="I13" s="151">
        <f t="shared" si="7"/>
        <v>5488.1646205467732</v>
      </c>
    </row>
    <row r="14" spans="1:252" ht="26.4" x14ac:dyDescent="0.25">
      <c r="A14" s="187" t="s">
        <v>346</v>
      </c>
      <c r="B14" s="137" t="s">
        <v>97</v>
      </c>
      <c r="C14" s="185">
        <f t="shared" ref="C14:C15" si="9">20*100%</f>
        <v>20</v>
      </c>
      <c r="D14" s="185">
        <f t="shared" si="4"/>
        <v>381.12254309352596</v>
      </c>
      <c r="E14" s="188">
        <f t="shared" si="5"/>
        <v>7622.4508618705195</v>
      </c>
      <c r="F14" s="137" t="s">
        <v>97</v>
      </c>
      <c r="G14" s="138">
        <f t="shared" si="3"/>
        <v>12</v>
      </c>
      <c r="H14" s="140">
        <f t="shared" si="6"/>
        <v>381.12254309352596</v>
      </c>
      <c r="I14" s="151">
        <f t="shared" si="7"/>
        <v>4573.4705171223113</v>
      </c>
    </row>
    <row r="15" spans="1:252" ht="26.4" x14ac:dyDescent="0.25">
      <c r="A15" s="187" t="s">
        <v>347</v>
      </c>
      <c r="B15" s="137" t="s">
        <v>97</v>
      </c>
      <c r="C15" s="185">
        <f t="shared" si="9"/>
        <v>20</v>
      </c>
      <c r="D15" s="185">
        <f t="shared" si="4"/>
        <v>381.12254309352596</v>
      </c>
      <c r="E15" s="188">
        <f t="shared" si="5"/>
        <v>7622.4508618705195</v>
      </c>
      <c r="F15" s="137" t="s">
        <v>97</v>
      </c>
      <c r="G15" s="138">
        <f t="shared" si="3"/>
        <v>12</v>
      </c>
      <c r="H15" s="140">
        <f t="shared" si="6"/>
        <v>381.12254309352596</v>
      </c>
      <c r="I15" s="151">
        <f t="shared" si="7"/>
        <v>4573.4705171223113</v>
      </c>
    </row>
    <row r="16" spans="1:252" x14ac:dyDescent="0.25">
      <c r="A16" s="139" t="s">
        <v>99</v>
      </c>
      <c r="B16" s="5"/>
      <c r="C16" s="2"/>
      <c r="D16" s="2"/>
      <c r="E16" s="188"/>
      <c r="F16" s="5"/>
      <c r="G16" s="2"/>
      <c r="H16" s="140">
        <f t="shared" si="1"/>
        <v>0</v>
      </c>
      <c r="I16" s="151">
        <f t="shared" si="2"/>
        <v>0</v>
      </c>
    </row>
    <row r="17" spans="1:9" x14ac:dyDescent="0.25">
      <c r="A17" s="187" t="s">
        <v>353</v>
      </c>
      <c r="B17" s="207" t="s">
        <v>97</v>
      </c>
      <c r="C17" s="185">
        <f>24*10%</f>
        <v>2.4000000000000004</v>
      </c>
      <c r="D17" s="138">
        <f>581446/655.957</f>
        <v>886.40871276623318</v>
      </c>
      <c r="E17" s="188">
        <f t="shared" si="0"/>
        <v>2127.3809106389599</v>
      </c>
      <c r="F17" s="137" t="s">
        <v>97</v>
      </c>
      <c r="G17" s="138">
        <f>12*30%</f>
        <v>3.5999999999999996</v>
      </c>
      <c r="H17" s="140">
        <f t="shared" si="1"/>
        <v>886.40871276623318</v>
      </c>
      <c r="I17" s="151">
        <f t="shared" si="2"/>
        <v>3191.0713659584389</v>
      </c>
    </row>
    <row r="18" spans="1:9" x14ac:dyDescent="0.25">
      <c r="A18" s="187" t="s">
        <v>274</v>
      </c>
      <c r="B18" s="207" t="s">
        <v>97</v>
      </c>
      <c r="C18" s="185">
        <f>24*10%</f>
        <v>2.4000000000000004</v>
      </c>
      <c r="D18" s="138">
        <f>265641/655.957</f>
        <v>404.96709387962932</v>
      </c>
      <c r="E18" s="188">
        <f t="shared" ref="E18:E20" si="10">C18*D18</f>
        <v>971.9210253111105</v>
      </c>
      <c r="F18" s="137" t="s">
        <v>97</v>
      </c>
      <c r="G18" s="138">
        <f>12*30%</f>
        <v>3.5999999999999996</v>
      </c>
      <c r="H18" s="140">
        <f t="shared" si="1"/>
        <v>404.96709387962932</v>
      </c>
      <c r="I18" s="151">
        <f t="shared" si="2"/>
        <v>1457.8815379666653</v>
      </c>
    </row>
    <row r="19" spans="1:9" x14ac:dyDescent="0.25">
      <c r="A19" s="187" t="s">
        <v>354</v>
      </c>
      <c r="B19" s="207" t="s">
        <v>97</v>
      </c>
      <c r="C19" s="185">
        <f>24*10%</f>
        <v>2.4000000000000004</v>
      </c>
      <c r="D19" s="138">
        <f>180600/655.957</f>
        <v>275.32292513076317</v>
      </c>
      <c r="E19" s="188">
        <f t="shared" si="10"/>
        <v>660.77502031383165</v>
      </c>
      <c r="F19" s="137" t="s">
        <v>97</v>
      </c>
      <c r="G19" s="138">
        <f>12*15%</f>
        <v>1.7999999999999998</v>
      </c>
      <c r="H19" s="140">
        <f t="shared" si="1"/>
        <v>275.32292513076317</v>
      </c>
      <c r="I19" s="151">
        <f t="shared" si="2"/>
        <v>495.58126523537368</v>
      </c>
    </row>
    <row r="20" spans="1:9" x14ac:dyDescent="0.25">
      <c r="A20" s="187" t="s">
        <v>355</v>
      </c>
      <c r="B20" s="207" t="s">
        <v>97</v>
      </c>
      <c r="C20" s="185">
        <f>24*10%</f>
        <v>2.4000000000000004</v>
      </c>
      <c r="D20" s="138">
        <f>180600/655.957</f>
        <v>275.32292513076317</v>
      </c>
      <c r="E20" s="188">
        <f t="shared" si="10"/>
        <v>660.77502031383165</v>
      </c>
      <c r="F20" s="137" t="s">
        <v>97</v>
      </c>
      <c r="G20" s="138">
        <f>12*15%</f>
        <v>1.7999999999999998</v>
      </c>
      <c r="H20" s="140">
        <f t="shared" si="1"/>
        <v>275.32292513076317</v>
      </c>
      <c r="I20" s="151">
        <f t="shared" si="2"/>
        <v>495.58126523537368</v>
      </c>
    </row>
    <row r="21" spans="1:9" ht="52.8" x14ac:dyDescent="0.25">
      <c r="A21" s="139" t="s">
        <v>273</v>
      </c>
      <c r="B21" s="5"/>
      <c r="C21" s="2"/>
      <c r="D21" s="2"/>
      <c r="E21" s="188"/>
      <c r="F21" s="5"/>
      <c r="G21" s="2"/>
      <c r="H21" s="140">
        <f t="shared" si="1"/>
        <v>0</v>
      </c>
      <c r="I21" s="151">
        <f t="shared" si="2"/>
        <v>0</v>
      </c>
    </row>
    <row r="22" spans="1:9" ht="15.6" x14ac:dyDescent="0.25">
      <c r="A22" s="139" t="s">
        <v>100</v>
      </c>
      <c r="B22" s="5"/>
      <c r="C22" s="2"/>
      <c r="D22" s="2"/>
      <c r="E22" s="188"/>
      <c r="F22" s="5"/>
      <c r="G22" s="2"/>
      <c r="H22" s="140">
        <f t="shared" si="1"/>
        <v>0</v>
      </c>
      <c r="I22" s="151">
        <f t="shared" si="2"/>
        <v>0</v>
      </c>
    </row>
    <row r="23" spans="1:9" x14ac:dyDescent="0.25">
      <c r="A23" s="139" t="s">
        <v>107</v>
      </c>
      <c r="B23" s="5"/>
      <c r="C23" s="2"/>
      <c r="D23" s="2"/>
      <c r="E23" s="188"/>
      <c r="F23" s="5"/>
      <c r="G23" s="2"/>
      <c r="H23" s="140">
        <f t="shared" si="1"/>
        <v>0</v>
      </c>
      <c r="I23" s="151">
        <f t="shared" si="2"/>
        <v>0</v>
      </c>
    </row>
    <row r="24" spans="1:9" x14ac:dyDescent="0.25">
      <c r="A24" s="139" t="s">
        <v>106</v>
      </c>
      <c r="B24" s="5"/>
      <c r="C24" s="2"/>
      <c r="D24" s="2"/>
      <c r="E24" s="188"/>
      <c r="F24" s="5"/>
      <c r="G24" s="2"/>
      <c r="H24" s="140">
        <f t="shared" si="1"/>
        <v>0</v>
      </c>
      <c r="I24" s="151">
        <f t="shared" si="2"/>
        <v>0</v>
      </c>
    </row>
    <row r="25" spans="1:9" ht="39.6" x14ac:dyDescent="0.25">
      <c r="A25" s="187" t="s">
        <v>359</v>
      </c>
      <c r="B25" s="5" t="s">
        <v>101</v>
      </c>
      <c r="C25" s="185">
        <f>2*2*5</f>
        <v>20</v>
      </c>
      <c r="D25" s="138">
        <v>47.72</v>
      </c>
      <c r="E25" s="188">
        <f t="shared" ref="E25:E27" si="11">C25*D25</f>
        <v>954.4</v>
      </c>
      <c r="F25" s="5" t="s">
        <v>101</v>
      </c>
      <c r="G25" s="140">
        <f>C25/2</f>
        <v>10</v>
      </c>
      <c r="H25" s="140">
        <f>D25</f>
        <v>47.72</v>
      </c>
      <c r="I25" s="151">
        <f t="shared" si="2"/>
        <v>477.2</v>
      </c>
    </row>
    <row r="26" spans="1:9" ht="39.6" x14ac:dyDescent="0.25">
      <c r="A26" s="187" t="s">
        <v>360</v>
      </c>
      <c r="B26" s="5" t="s">
        <v>101</v>
      </c>
      <c r="C26" s="185">
        <f>2*2*5</f>
        <v>20</v>
      </c>
      <c r="D26" s="138">
        <v>47.72</v>
      </c>
      <c r="E26" s="188">
        <f t="shared" si="11"/>
        <v>954.4</v>
      </c>
      <c r="F26" s="5" t="s">
        <v>101</v>
      </c>
      <c r="G26" s="140">
        <f>C26/2</f>
        <v>10</v>
      </c>
      <c r="H26" s="140">
        <f t="shared" ref="H26:H27" si="12">D26</f>
        <v>47.72</v>
      </c>
      <c r="I26" s="151">
        <f t="shared" si="2"/>
        <v>477.2</v>
      </c>
    </row>
    <row r="27" spans="1:9" ht="39.6" x14ac:dyDescent="0.25">
      <c r="A27" s="187" t="s">
        <v>280</v>
      </c>
      <c r="B27" s="5" t="s">
        <v>101</v>
      </c>
      <c r="C27" s="185">
        <f>4*4*12</f>
        <v>192</v>
      </c>
      <c r="D27" s="138">
        <v>47.72</v>
      </c>
      <c r="E27" s="188">
        <f t="shared" si="11"/>
        <v>9162.24</v>
      </c>
      <c r="F27" s="5" t="s">
        <v>101</v>
      </c>
      <c r="G27" s="140">
        <f>C27/2</f>
        <v>96</v>
      </c>
      <c r="H27" s="140">
        <f t="shared" si="12"/>
        <v>47.72</v>
      </c>
      <c r="I27" s="151">
        <f t="shared" si="2"/>
        <v>4581.12</v>
      </c>
    </row>
    <row r="28" spans="1:9" x14ac:dyDescent="0.25">
      <c r="A28" s="139" t="s">
        <v>156</v>
      </c>
      <c r="B28" s="5"/>
      <c r="C28" s="2"/>
      <c r="D28" s="2"/>
      <c r="E28" s="149"/>
      <c r="F28" s="5"/>
      <c r="G28" s="2"/>
      <c r="H28" s="140">
        <f t="shared" si="1"/>
        <v>0</v>
      </c>
      <c r="I28" s="151">
        <f t="shared" si="2"/>
        <v>0</v>
      </c>
    </row>
    <row r="29" spans="1:9" ht="15" customHeight="1" x14ac:dyDescent="0.25">
      <c r="A29" s="35" t="s">
        <v>15</v>
      </c>
      <c r="B29" s="36"/>
      <c r="C29" s="37"/>
      <c r="D29" s="38"/>
      <c r="E29" s="141">
        <f>SUM(E6:E28)</f>
        <v>89215.870591029568</v>
      </c>
      <c r="F29" s="36"/>
      <c r="G29" s="37"/>
      <c r="H29" s="38"/>
      <c r="I29" s="141">
        <f>SUM(I6:I28)</f>
        <v>58461.71668667304</v>
      </c>
    </row>
    <row r="30" spans="1:9" ht="15" customHeight="1" x14ac:dyDescent="0.25">
      <c r="A30" s="55" t="s">
        <v>16</v>
      </c>
      <c r="B30" s="4"/>
      <c r="C30" s="1"/>
      <c r="D30" s="1"/>
      <c r="E30" s="51"/>
      <c r="F30" s="31"/>
      <c r="G30" s="1"/>
      <c r="H30" s="1"/>
      <c r="I30" s="34"/>
    </row>
    <row r="31" spans="1:9" x14ac:dyDescent="0.25">
      <c r="A31" s="23" t="s">
        <v>155</v>
      </c>
      <c r="B31" s="13"/>
      <c r="C31" s="138"/>
      <c r="D31" s="138"/>
      <c r="E31" s="149"/>
      <c r="F31" s="32"/>
      <c r="G31" s="138"/>
      <c r="H31" s="140"/>
      <c r="I31" s="151"/>
    </row>
    <row r="32" spans="1:9" x14ac:dyDescent="0.25">
      <c r="A32" s="23" t="s">
        <v>154</v>
      </c>
      <c r="B32" s="13"/>
      <c r="C32" s="7"/>
      <c r="D32" s="7"/>
      <c r="E32" s="53"/>
      <c r="F32" s="32"/>
      <c r="G32" s="7"/>
      <c r="H32" s="7"/>
      <c r="I32" s="34"/>
    </row>
    <row r="33" spans="1:9" ht="15" customHeight="1" x14ac:dyDescent="0.25">
      <c r="A33" s="35" t="s">
        <v>17</v>
      </c>
      <c r="B33" s="36"/>
      <c r="C33" s="37"/>
      <c r="D33" s="39"/>
      <c r="E33" s="146">
        <f>SUM(E31:E32)</f>
        <v>0</v>
      </c>
      <c r="F33" s="36"/>
      <c r="G33" s="37"/>
      <c r="H33" s="39"/>
      <c r="I33" s="146">
        <f>SUM(I31:I32)</f>
        <v>0</v>
      </c>
    </row>
    <row r="34" spans="1:9" ht="15" customHeight="1" x14ac:dyDescent="0.25">
      <c r="A34" s="55" t="s">
        <v>18</v>
      </c>
      <c r="B34" s="4"/>
      <c r="C34" s="1"/>
      <c r="D34" s="1"/>
      <c r="E34" s="51"/>
      <c r="F34" s="31"/>
      <c r="G34" s="1"/>
      <c r="H34" s="1"/>
      <c r="I34" s="34"/>
    </row>
    <row r="35" spans="1:9" x14ac:dyDescent="0.25">
      <c r="A35" s="23" t="s">
        <v>111</v>
      </c>
      <c r="B35" s="13"/>
      <c r="C35" s="7"/>
      <c r="D35" s="7"/>
      <c r="E35" s="53"/>
      <c r="F35" s="32"/>
      <c r="G35" s="7"/>
      <c r="H35" s="7"/>
      <c r="I35" s="34"/>
    </row>
    <row r="36" spans="1:9" x14ac:dyDescent="0.25">
      <c r="A36" s="143" t="s">
        <v>113</v>
      </c>
      <c r="B36" s="137" t="s">
        <v>112</v>
      </c>
      <c r="C36" s="138">
        <v>1</v>
      </c>
      <c r="D36" s="138">
        <f>550000/655.957</f>
        <v>838.46959480575708</v>
      </c>
      <c r="E36" s="188">
        <f>C36*D36</f>
        <v>838.46959480575708</v>
      </c>
      <c r="F36" s="137" t="s">
        <v>112</v>
      </c>
      <c r="G36" s="150">
        <f>C36</f>
        <v>1</v>
      </c>
      <c r="H36" s="150">
        <f>D36</f>
        <v>838.46959480575708</v>
      </c>
      <c r="I36" s="151">
        <f>G36*H36</f>
        <v>838.46959480575708</v>
      </c>
    </row>
    <row r="37" spans="1:9" x14ac:dyDescent="0.25">
      <c r="A37" s="143" t="s">
        <v>114</v>
      </c>
      <c r="B37" s="137" t="s">
        <v>112</v>
      </c>
      <c r="C37" s="138">
        <f>1*3</f>
        <v>3</v>
      </c>
      <c r="D37" s="138">
        <f>550000/655.957</f>
        <v>838.46959480575708</v>
      </c>
      <c r="E37" s="188">
        <f t="shared" ref="E37:E38" si="13">C37*D37</f>
        <v>2515.4087844172714</v>
      </c>
      <c r="F37" s="137" t="s">
        <v>112</v>
      </c>
      <c r="G37" s="150">
        <f t="shared" ref="G37:G38" si="14">C37</f>
        <v>3</v>
      </c>
      <c r="H37" s="150">
        <f t="shared" ref="H37:H38" si="15">D37</f>
        <v>838.46959480575708</v>
      </c>
      <c r="I37" s="151">
        <f t="shared" ref="I37:I38" si="16">G37*H37</f>
        <v>2515.4087844172714</v>
      </c>
    </row>
    <row r="38" spans="1:9" x14ac:dyDescent="0.25">
      <c r="A38" s="143" t="s">
        <v>115</v>
      </c>
      <c r="B38" s="137" t="s">
        <v>112</v>
      </c>
      <c r="C38" s="138">
        <f>1*3</f>
        <v>3</v>
      </c>
      <c r="D38" s="138">
        <f>550000/655.957</f>
        <v>838.46959480575708</v>
      </c>
      <c r="E38" s="188">
        <f t="shared" si="13"/>
        <v>2515.4087844172714</v>
      </c>
      <c r="F38" s="137" t="s">
        <v>112</v>
      </c>
      <c r="G38" s="150">
        <f t="shared" si="14"/>
        <v>3</v>
      </c>
      <c r="H38" s="150">
        <f t="shared" si="15"/>
        <v>838.46959480575708</v>
      </c>
      <c r="I38" s="151">
        <f t="shared" si="16"/>
        <v>2515.4087844172714</v>
      </c>
    </row>
    <row r="39" spans="1:9" ht="26.4" x14ac:dyDescent="0.25">
      <c r="A39" s="143" t="s">
        <v>313</v>
      </c>
      <c r="B39" s="13" t="s">
        <v>118</v>
      </c>
      <c r="C39" s="138">
        <f>6*12</f>
        <v>72</v>
      </c>
      <c r="D39" s="138">
        <f>70000/655.957</f>
        <v>106.71431206618726</v>
      </c>
      <c r="E39" s="188">
        <f>C39*D39</f>
        <v>7683.4304687654831</v>
      </c>
      <c r="F39" s="13" t="s">
        <v>118</v>
      </c>
      <c r="G39" s="150">
        <f>C39/2</f>
        <v>36</v>
      </c>
      <c r="H39" s="150">
        <f t="shared" ref="H39:H40" si="17">D39</f>
        <v>106.71431206618726</v>
      </c>
      <c r="I39" s="151">
        <f t="shared" ref="I39:I42" si="18">G39*H39</f>
        <v>3841.7152343827415</v>
      </c>
    </row>
    <row r="40" spans="1:9" ht="39.6" x14ac:dyDescent="0.25">
      <c r="A40" s="143" t="s">
        <v>315</v>
      </c>
      <c r="B40" s="13" t="s">
        <v>118</v>
      </c>
      <c r="C40" s="138">
        <f>6*8</f>
        <v>48</v>
      </c>
      <c r="D40" s="138">
        <f>(70000/655.957)*50%</f>
        <v>53.357156033093631</v>
      </c>
      <c r="E40" s="188">
        <f t="shared" ref="E40:E54" si="19">C40*D40</f>
        <v>2561.143489588494</v>
      </c>
      <c r="F40" s="13" t="s">
        <v>118</v>
      </c>
      <c r="G40" s="150">
        <f>C40/2</f>
        <v>24</v>
      </c>
      <c r="H40" s="150">
        <f t="shared" si="17"/>
        <v>53.357156033093631</v>
      </c>
      <c r="I40" s="151">
        <f t="shared" si="18"/>
        <v>1280.571744794247</v>
      </c>
    </row>
    <row r="41" spans="1:9" x14ac:dyDescent="0.25">
      <c r="A41" s="23" t="s">
        <v>122</v>
      </c>
      <c r="B41" s="13"/>
      <c r="C41" s="7"/>
      <c r="D41" s="7"/>
      <c r="E41" s="189"/>
      <c r="F41" s="32"/>
      <c r="G41" s="7"/>
      <c r="H41" s="7"/>
      <c r="I41" s="34"/>
    </row>
    <row r="42" spans="1:9" ht="26.4" x14ac:dyDescent="0.25">
      <c r="A42" s="143" t="s">
        <v>123</v>
      </c>
      <c r="B42" s="13" t="s">
        <v>121</v>
      </c>
      <c r="C42" s="138">
        <v>1</v>
      </c>
      <c r="D42" s="138">
        <f>400000/655.957</f>
        <v>609.79606894964149</v>
      </c>
      <c r="E42" s="188">
        <f t="shared" si="19"/>
        <v>609.79606894964149</v>
      </c>
      <c r="F42" s="13" t="s">
        <v>121</v>
      </c>
      <c r="G42" s="150">
        <f>C42</f>
        <v>1</v>
      </c>
      <c r="H42" s="157">
        <f>D42</f>
        <v>609.79606894964149</v>
      </c>
      <c r="I42" s="151">
        <f t="shared" si="18"/>
        <v>609.79606894964149</v>
      </c>
    </row>
    <row r="43" spans="1:9" ht="26.4" x14ac:dyDescent="0.25">
      <c r="A43" s="143" t="s">
        <v>124</v>
      </c>
      <c r="B43" s="13" t="s">
        <v>121</v>
      </c>
      <c r="C43" s="138">
        <v>1</v>
      </c>
      <c r="D43" s="138">
        <f>120000/655.957</f>
        <v>182.93882068489245</v>
      </c>
      <c r="E43" s="188">
        <f t="shared" si="19"/>
        <v>182.93882068489245</v>
      </c>
      <c r="F43" s="13" t="s">
        <v>121</v>
      </c>
      <c r="G43" s="150">
        <f t="shared" ref="G43:G51" si="20">C43</f>
        <v>1</v>
      </c>
      <c r="H43" s="157">
        <f t="shared" ref="H43:H51" si="21">D43</f>
        <v>182.93882068489245</v>
      </c>
      <c r="I43" s="151">
        <f t="shared" ref="I43:I51" si="22">G43*H43</f>
        <v>182.93882068489245</v>
      </c>
    </row>
    <row r="44" spans="1:9" ht="26.4" x14ac:dyDescent="0.25">
      <c r="A44" s="143" t="s">
        <v>131</v>
      </c>
      <c r="B44" s="13" t="s">
        <v>121</v>
      </c>
      <c r="C44" s="138">
        <f>1</f>
        <v>1</v>
      </c>
      <c r="D44" s="138">
        <f>80000/655.957</f>
        <v>121.9592137899283</v>
      </c>
      <c r="E44" s="188">
        <f>C44*D44</f>
        <v>121.9592137899283</v>
      </c>
      <c r="F44" s="13" t="s">
        <v>121</v>
      </c>
      <c r="G44" s="150">
        <f>C44</f>
        <v>1</v>
      </c>
      <c r="H44" s="157">
        <f>D44</f>
        <v>121.9592137899283</v>
      </c>
      <c r="I44" s="151">
        <f>G44*H44</f>
        <v>121.9592137899283</v>
      </c>
    </row>
    <row r="45" spans="1:9" ht="26.4" x14ac:dyDescent="0.25">
      <c r="A45" s="143" t="s">
        <v>132</v>
      </c>
      <c r="B45" s="13" t="s">
        <v>121</v>
      </c>
      <c r="C45" s="138">
        <f>1</f>
        <v>1</v>
      </c>
      <c r="D45" s="138">
        <f>500000/655.957</f>
        <v>762.24508618705192</v>
      </c>
      <c r="E45" s="188">
        <f t="shared" si="19"/>
        <v>762.24508618705192</v>
      </c>
      <c r="F45" s="13" t="s">
        <v>121</v>
      </c>
      <c r="G45" s="150">
        <f t="shared" si="20"/>
        <v>1</v>
      </c>
      <c r="H45" s="157">
        <f t="shared" si="21"/>
        <v>762.24508618705192</v>
      </c>
      <c r="I45" s="151">
        <f t="shared" si="22"/>
        <v>762.24508618705192</v>
      </c>
    </row>
    <row r="46" spans="1:9" ht="26.4" x14ac:dyDescent="0.25">
      <c r="A46" s="143" t="s">
        <v>125</v>
      </c>
      <c r="B46" s="13" t="s">
        <v>121</v>
      </c>
      <c r="C46" s="138">
        <f>1*3</f>
        <v>3</v>
      </c>
      <c r="D46" s="138">
        <f t="shared" ref="D46:D49" si="23">400000/655.957</f>
        <v>609.79606894964149</v>
      </c>
      <c r="E46" s="188">
        <f t="shared" si="19"/>
        <v>1829.3882068489245</v>
      </c>
      <c r="F46" s="13" t="s">
        <v>121</v>
      </c>
      <c r="G46" s="150">
        <f t="shared" si="20"/>
        <v>3</v>
      </c>
      <c r="H46" s="157">
        <f t="shared" si="21"/>
        <v>609.79606894964149</v>
      </c>
      <c r="I46" s="151">
        <f t="shared" si="22"/>
        <v>1829.3882068489245</v>
      </c>
    </row>
    <row r="47" spans="1:9" ht="26.4" x14ac:dyDescent="0.25">
      <c r="A47" s="143" t="s">
        <v>129</v>
      </c>
      <c r="B47" s="13" t="s">
        <v>121</v>
      </c>
      <c r="C47" s="138">
        <f>1*3</f>
        <v>3</v>
      </c>
      <c r="D47" s="138">
        <f>10000/655.957</f>
        <v>15.244901723741037</v>
      </c>
      <c r="E47" s="188">
        <f t="shared" si="19"/>
        <v>45.734705171223112</v>
      </c>
      <c r="F47" s="13" t="s">
        <v>121</v>
      </c>
      <c r="G47" s="150">
        <f t="shared" si="20"/>
        <v>3</v>
      </c>
      <c r="H47" s="157">
        <f t="shared" si="21"/>
        <v>15.244901723741037</v>
      </c>
      <c r="I47" s="151">
        <f t="shared" si="22"/>
        <v>45.734705171223112</v>
      </c>
    </row>
    <row r="48" spans="1:9" ht="26.4" x14ac:dyDescent="0.25">
      <c r="A48" s="143" t="s">
        <v>130</v>
      </c>
      <c r="B48" s="13" t="s">
        <v>121</v>
      </c>
      <c r="C48" s="138">
        <f>1</f>
        <v>1</v>
      </c>
      <c r="D48" s="138">
        <f>100000/655.957</f>
        <v>152.44901723741037</v>
      </c>
      <c r="E48" s="188">
        <f t="shared" si="19"/>
        <v>152.44901723741037</v>
      </c>
      <c r="F48" s="13" t="s">
        <v>121</v>
      </c>
      <c r="G48" s="150">
        <f t="shared" si="20"/>
        <v>1</v>
      </c>
      <c r="H48" s="157">
        <f t="shared" si="21"/>
        <v>152.44901723741037</v>
      </c>
      <c r="I48" s="151">
        <f t="shared" si="22"/>
        <v>152.44901723741037</v>
      </c>
    </row>
    <row r="49" spans="1:9" ht="26.4" x14ac:dyDescent="0.25">
      <c r="A49" s="143" t="s">
        <v>126</v>
      </c>
      <c r="B49" s="13" t="s">
        <v>121</v>
      </c>
      <c r="C49" s="138">
        <f>1*3</f>
        <v>3</v>
      </c>
      <c r="D49" s="138">
        <f t="shared" si="23"/>
        <v>609.79606894964149</v>
      </c>
      <c r="E49" s="188">
        <f t="shared" ref="E49:E51" si="24">C49*D49</f>
        <v>1829.3882068489245</v>
      </c>
      <c r="F49" s="13" t="s">
        <v>121</v>
      </c>
      <c r="G49" s="150">
        <f t="shared" si="20"/>
        <v>3</v>
      </c>
      <c r="H49" s="157">
        <f t="shared" si="21"/>
        <v>609.79606894964149</v>
      </c>
      <c r="I49" s="151">
        <f t="shared" si="22"/>
        <v>1829.3882068489245</v>
      </c>
    </row>
    <row r="50" spans="1:9" ht="26.4" x14ac:dyDescent="0.25">
      <c r="A50" s="143" t="s">
        <v>127</v>
      </c>
      <c r="B50" s="13" t="s">
        <v>121</v>
      </c>
      <c r="C50" s="138">
        <f>1*3</f>
        <v>3</v>
      </c>
      <c r="D50" s="138">
        <f>10000/655.957</f>
        <v>15.244901723741037</v>
      </c>
      <c r="E50" s="188">
        <f t="shared" si="24"/>
        <v>45.734705171223112</v>
      </c>
      <c r="F50" s="13" t="s">
        <v>121</v>
      </c>
      <c r="G50" s="150">
        <f t="shared" si="20"/>
        <v>3</v>
      </c>
      <c r="H50" s="157">
        <f t="shared" si="21"/>
        <v>15.244901723741037</v>
      </c>
      <c r="I50" s="151">
        <f t="shared" si="22"/>
        <v>45.734705171223112</v>
      </c>
    </row>
    <row r="51" spans="1:9" ht="26.4" x14ac:dyDescent="0.25">
      <c r="A51" s="143" t="s">
        <v>128</v>
      </c>
      <c r="B51" s="13" t="s">
        <v>121</v>
      </c>
      <c r="C51" s="138">
        <f>1</f>
        <v>1</v>
      </c>
      <c r="D51" s="138">
        <f>100000/655.957</f>
        <v>152.44901723741037</v>
      </c>
      <c r="E51" s="188">
        <f t="shared" si="24"/>
        <v>152.44901723741037</v>
      </c>
      <c r="F51" s="13" t="s">
        <v>121</v>
      </c>
      <c r="G51" s="150">
        <f t="shared" si="20"/>
        <v>1</v>
      </c>
      <c r="H51" s="157">
        <f t="shared" si="21"/>
        <v>152.44901723741037</v>
      </c>
      <c r="I51" s="151">
        <f t="shared" si="22"/>
        <v>152.44901723741037</v>
      </c>
    </row>
    <row r="52" spans="1:9" x14ac:dyDescent="0.25">
      <c r="A52" s="23" t="s">
        <v>134</v>
      </c>
      <c r="B52" s="13"/>
      <c r="C52" s="7"/>
      <c r="D52" s="7"/>
      <c r="E52" s="149">
        <f t="shared" si="19"/>
        <v>0</v>
      </c>
      <c r="F52" s="32"/>
      <c r="G52" s="7"/>
      <c r="H52" s="7"/>
      <c r="I52" s="34"/>
    </row>
    <row r="53" spans="1:9" x14ac:dyDescent="0.25">
      <c r="A53" s="23" t="s">
        <v>135</v>
      </c>
      <c r="B53" s="13"/>
      <c r="C53" s="7"/>
      <c r="D53" s="7"/>
      <c r="E53" s="149">
        <f t="shared" si="19"/>
        <v>0</v>
      </c>
      <c r="F53" s="32"/>
      <c r="G53" s="7"/>
      <c r="H53" s="7"/>
      <c r="I53" s="34"/>
    </row>
    <row r="54" spans="1:9" x14ac:dyDescent="0.25">
      <c r="A54" s="23" t="s">
        <v>136</v>
      </c>
      <c r="B54" s="13"/>
      <c r="C54" s="7"/>
      <c r="D54" s="7"/>
      <c r="E54" s="149">
        <f t="shared" si="19"/>
        <v>0</v>
      </c>
      <c r="F54" s="32"/>
      <c r="G54" s="7"/>
      <c r="H54" s="7"/>
      <c r="I54" s="34"/>
    </row>
    <row r="55" spans="1:9" ht="15" customHeight="1" x14ac:dyDescent="0.25">
      <c r="A55" s="35" t="s">
        <v>19</v>
      </c>
      <c r="B55" s="36"/>
      <c r="C55" s="37"/>
      <c r="D55" s="39"/>
      <c r="E55" s="146">
        <f>SUM(E36:E54)</f>
        <v>21845.944170120911</v>
      </c>
      <c r="F55" s="36"/>
      <c r="G55" s="37"/>
      <c r="H55" s="39"/>
      <c r="I55" s="146">
        <f>SUM(I36:I54)</f>
        <v>16723.657190943915</v>
      </c>
    </row>
    <row r="56" spans="1:9" ht="15" customHeight="1" x14ac:dyDescent="0.25">
      <c r="A56" s="134" t="s">
        <v>20</v>
      </c>
      <c r="B56" s="5"/>
      <c r="C56" s="2"/>
      <c r="D56" s="2"/>
      <c r="E56" s="52"/>
      <c r="F56" s="48"/>
      <c r="G56" s="2"/>
      <c r="H56" s="2"/>
      <c r="I56" s="34"/>
    </row>
    <row r="57" spans="1:9" x14ac:dyDescent="0.25">
      <c r="A57" s="23" t="s">
        <v>138</v>
      </c>
      <c r="B57" s="5"/>
      <c r="C57" s="2"/>
      <c r="D57" s="2"/>
      <c r="E57" s="52"/>
      <c r="F57" s="48"/>
      <c r="G57" s="2"/>
      <c r="H57" s="2"/>
      <c r="I57" s="34"/>
    </row>
    <row r="58" spans="1:9" ht="12" customHeight="1" x14ac:dyDescent="0.25">
      <c r="A58" s="187" t="s">
        <v>363</v>
      </c>
      <c r="B58" s="137" t="s">
        <v>97</v>
      </c>
      <c r="C58" s="185">
        <f>1*100%*20</f>
        <v>20</v>
      </c>
      <c r="D58" s="138">
        <f>10000/655.957</f>
        <v>15.244901723741037</v>
      </c>
      <c r="E58" s="188">
        <f t="shared" ref="E58:E68" si="25">C58*D58</f>
        <v>304.89803447482075</v>
      </c>
      <c r="F58" s="137" t="s">
        <v>97</v>
      </c>
      <c r="G58" s="140">
        <f>9</f>
        <v>9</v>
      </c>
      <c r="H58" s="140">
        <f>D58</f>
        <v>15.244901723741037</v>
      </c>
      <c r="I58" s="151">
        <f t="shared" ref="I58:I76" si="26">G58*H58</f>
        <v>137.20411551366934</v>
      </c>
    </row>
    <row r="59" spans="1:9" ht="12" customHeight="1" x14ac:dyDescent="0.25">
      <c r="A59" s="187" t="s">
        <v>364</v>
      </c>
      <c r="B59" s="137" t="s">
        <v>97</v>
      </c>
      <c r="C59" s="185">
        <f>1*100%*20</f>
        <v>20</v>
      </c>
      <c r="D59" s="138">
        <f>15000/655.957</f>
        <v>22.867352585611556</v>
      </c>
      <c r="E59" s="188">
        <f t="shared" si="25"/>
        <v>457.34705171223112</v>
      </c>
      <c r="F59" s="137" t="s">
        <v>97</v>
      </c>
      <c r="G59" s="140">
        <f>9</f>
        <v>9</v>
      </c>
      <c r="H59" s="140">
        <f>D59</f>
        <v>22.867352585611556</v>
      </c>
      <c r="I59" s="151">
        <f t="shared" si="26"/>
        <v>205.80617327050402</v>
      </c>
    </row>
    <row r="60" spans="1:9" ht="12" customHeight="1" x14ac:dyDescent="0.25">
      <c r="A60" s="136" t="s">
        <v>139</v>
      </c>
      <c r="B60" s="137" t="s">
        <v>137</v>
      </c>
      <c r="C60" s="138">
        <f>1*2</f>
        <v>2</v>
      </c>
      <c r="D60" s="138">
        <f>143439/655.957</f>
        <v>218.67134583516906</v>
      </c>
      <c r="E60" s="188">
        <f t="shared" si="25"/>
        <v>437.34269167033813</v>
      </c>
      <c r="F60" s="137" t="s">
        <v>137</v>
      </c>
      <c r="G60" s="140">
        <f>C60/2</f>
        <v>1</v>
      </c>
      <c r="H60" s="140">
        <f>D60</f>
        <v>218.67134583516906</v>
      </c>
      <c r="I60" s="151">
        <f t="shared" si="26"/>
        <v>218.67134583516906</v>
      </c>
    </row>
    <row r="61" spans="1:9" ht="12" customHeight="1" x14ac:dyDescent="0.25">
      <c r="A61" s="187" t="s">
        <v>365</v>
      </c>
      <c r="B61" s="137" t="s">
        <v>97</v>
      </c>
      <c r="C61" s="185">
        <f>1*3*20</f>
        <v>60</v>
      </c>
      <c r="D61" s="138">
        <f t="shared" ref="D61" si="27">10000/655.957</f>
        <v>15.244901723741037</v>
      </c>
      <c r="E61" s="188">
        <f t="shared" si="25"/>
        <v>914.69410342446224</v>
      </c>
      <c r="F61" s="137" t="s">
        <v>97</v>
      </c>
      <c r="G61" s="140">
        <f>9*3</f>
        <v>27</v>
      </c>
      <c r="H61" s="140">
        <f t="shared" ref="H61:H66" si="28">D61</f>
        <v>15.244901723741037</v>
      </c>
      <c r="I61" s="151">
        <f t="shared" ref="I61:I66" si="29">G61*H61</f>
        <v>411.61234654100804</v>
      </c>
    </row>
    <row r="62" spans="1:9" ht="12" customHeight="1" x14ac:dyDescent="0.25">
      <c r="A62" s="187" t="s">
        <v>366</v>
      </c>
      <c r="B62" s="137" t="s">
        <v>97</v>
      </c>
      <c r="C62" s="185">
        <f>1*3*20</f>
        <v>60</v>
      </c>
      <c r="D62" s="138">
        <f t="shared" ref="D62" si="30">15000/655.957</f>
        <v>22.867352585611556</v>
      </c>
      <c r="E62" s="188">
        <f t="shared" si="25"/>
        <v>1372.0411551366933</v>
      </c>
      <c r="F62" s="137" t="s">
        <v>97</v>
      </c>
      <c r="G62" s="140">
        <f>9*3</f>
        <v>27</v>
      </c>
      <c r="H62" s="140">
        <f t="shared" si="28"/>
        <v>22.867352585611556</v>
      </c>
      <c r="I62" s="151">
        <f t="shared" si="29"/>
        <v>617.41851981151206</v>
      </c>
    </row>
    <row r="63" spans="1:9" ht="12" customHeight="1" x14ac:dyDescent="0.25">
      <c r="A63" s="136" t="s">
        <v>140</v>
      </c>
      <c r="B63" s="137" t="s">
        <v>137</v>
      </c>
      <c r="C63" s="138">
        <f>1*2*3</f>
        <v>6</v>
      </c>
      <c r="D63" s="138">
        <f>143439/655.957</f>
        <v>218.67134583516906</v>
      </c>
      <c r="E63" s="188">
        <f t="shared" si="25"/>
        <v>1312.0280750110144</v>
      </c>
      <c r="F63" s="137" t="s">
        <v>137</v>
      </c>
      <c r="G63" s="140">
        <f t="shared" ref="G63:G66" si="31">C63/2</f>
        <v>3</v>
      </c>
      <c r="H63" s="140">
        <f t="shared" si="28"/>
        <v>218.67134583516906</v>
      </c>
      <c r="I63" s="151">
        <f t="shared" si="29"/>
        <v>656.01403750550719</v>
      </c>
    </row>
    <row r="64" spans="1:9" ht="12" customHeight="1" x14ac:dyDescent="0.25">
      <c r="A64" s="187" t="s">
        <v>367</v>
      </c>
      <c r="B64" s="207" t="s">
        <v>97</v>
      </c>
      <c r="C64" s="185">
        <f>1*3*20</f>
        <v>60</v>
      </c>
      <c r="D64" s="138">
        <f t="shared" ref="D64" si="32">10000/655.957</f>
        <v>15.244901723741037</v>
      </c>
      <c r="E64" s="188">
        <f t="shared" ref="E64:E66" si="33">C64*D64</f>
        <v>914.69410342446224</v>
      </c>
      <c r="F64" s="137" t="s">
        <v>97</v>
      </c>
      <c r="G64" s="140">
        <f>9*3</f>
        <v>27</v>
      </c>
      <c r="H64" s="140">
        <f t="shared" si="28"/>
        <v>15.244901723741037</v>
      </c>
      <c r="I64" s="151">
        <f t="shared" si="29"/>
        <v>411.61234654100804</v>
      </c>
    </row>
    <row r="65" spans="1:9" ht="12" customHeight="1" x14ac:dyDescent="0.25">
      <c r="A65" s="187" t="s">
        <v>368</v>
      </c>
      <c r="B65" s="207" t="s">
        <v>97</v>
      </c>
      <c r="C65" s="185">
        <f>1*3*20</f>
        <v>60</v>
      </c>
      <c r="D65" s="138">
        <f t="shared" ref="D65" si="34">15000/655.957</f>
        <v>22.867352585611556</v>
      </c>
      <c r="E65" s="188">
        <f t="shared" si="33"/>
        <v>1372.0411551366933</v>
      </c>
      <c r="F65" s="137" t="s">
        <v>97</v>
      </c>
      <c r="G65" s="140">
        <f>9*3</f>
        <v>27</v>
      </c>
      <c r="H65" s="140">
        <f t="shared" si="28"/>
        <v>22.867352585611556</v>
      </c>
      <c r="I65" s="151">
        <f t="shared" si="29"/>
        <v>617.41851981151206</v>
      </c>
    </row>
    <row r="66" spans="1:9" ht="12" customHeight="1" x14ac:dyDescent="0.25">
      <c r="A66" s="136" t="s">
        <v>141</v>
      </c>
      <c r="B66" s="137" t="s">
        <v>137</v>
      </c>
      <c r="C66" s="138">
        <f>1*2*3</f>
        <v>6</v>
      </c>
      <c r="D66" s="138">
        <f>143439/655.957</f>
        <v>218.67134583516906</v>
      </c>
      <c r="E66" s="188">
        <f t="shared" si="33"/>
        <v>1312.0280750110144</v>
      </c>
      <c r="F66" s="137" t="s">
        <v>137</v>
      </c>
      <c r="G66" s="140">
        <f t="shared" si="31"/>
        <v>3</v>
      </c>
      <c r="H66" s="140">
        <f t="shared" si="28"/>
        <v>218.67134583516906</v>
      </c>
      <c r="I66" s="151">
        <f t="shared" si="29"/>
        <v>656.01403750550719</v>
      </c>
    </row>
    <row r="67" spans="1:9" ht="12" customHeight="1" x14ac:dyDescent="0.25">
      <c r="A67" s="187" t="s">
        <v>369</v>
      </c>
      <c r="B67" s="137" t="s">
        <v>146</v>
      </c>
      <c r="C67" s="185">
        <f>4*2*25%</f>
        <v>2</v>
      </c>
      <c r="D67" s="138">
        <f>300000/655.957</f>
        <v>457.34705171223112</v>
      </c>
      <c r="E67" s="188">
        <f t="shared" si="25"/>
        <v>914.69410342446224</v>
      </c>
      <c r="F67" s="137" t="s">
        <v>146</v>
      </c>
      <c r="G67" s="140">
        <f>C67/2</f>
        <v>1</v>
      </c>
      <c r="H67" s="140">
        <f>D67</f>
        <v>457.34705171223112</v>
      </c>
      <c r="I67" s="151">
        <f t="shared" si="26"/>
        <v>457.34705171223112</v>
      </c>
    </row>
    <row r="68" spans="1:9" ht="26.4" x14ac:dyDescent="0.25">
      <c r="A68" s="143" t="s">
        <v>282</v>
      </c>
      <c r="B68" s="137" t="s">
        <v>146</v>
      </c>
      <c r="C68" s="138">
        <f>4*2*20%</f>
        <v>1.6</v>
      </c>
      <c r="D68" s="138">
        <f>300000/655.957</f>
        <v>457.34705171223112</v>
      </c>
      <c r="E68" s="188">
        <f t="shared" si="25"/>
        <v>731.75528273956979</v>
      </c>
      <c r="F68" s="137" t="s">
        <v>146</v>
      </c>
      <c r="G68" s="140">
        <f>C68/2</f>
        <v>0.8</v>
      </c>
      <c r="H68" s="140">
        <f>D68</f>
        <v>457.34705171223112</v>
      </c>
      <c r="I68" s="151">
        <f t="shared" si="26"/>
        <v>365.8776413697849</v>
      </c>
    </row>
    <row r="69" spans="1:9" x14ac:dyDescent="0.25">
      <c r="A69" s="23" t="s">
        <v>149</v>
      </c>
      <c r="B69" s="5"/>
      <c r="C69" s="2"/>
      <c r="D69" s="2"/>
      <c r="E69" s="190"/>
      <c r="F69" s="48"/>
      <c r="G69" s="2"/>
      <c r="H69" s="2"/>
      <c r="I69" s="151">
        <f t="shared" si="26"/>
        <v>0</v>
      </c>
    </row>
    <row r="70" spans="1:9" x14ac:dyDescent="0.25">
      <c r="A70" s="187" t="s">
        <v>376</v>
      </c>
      <c r="B70" s="137" t="s">
        <v>14</v>
      </c>
      <c r="C70" s="185">
        <f>24*10%</f>
        <v>2.4000000000000004</v>
      </c>
      <c r="D70" s="138">
        <f>100000/655.957</f>
        <v>152.44901723741037</v>
      </c>
      <c r="E70" s="188">
        <f t="shared" ref="E70:E71" si="35">C70*D70</f>
        <v>365.87764136978495</v>
      </c>
      <c r="F70" s="137" t="s">
        <v>14</v>
      </c>
      <c r="G70" s="140">
        <f>C70/2</f>
        <v>1.2000000000000002</v>
      </c>
      <c r="H70" s="140">
        <f t="shared" ref="H70:H71" si="36">D70</f>
        <v>152.44901723741037</v>
      </c>
      <c r="I70" s="151">
        <f t="shared" ref="I70:I75" si="37">G70*H70</f>
        <v>182.93882068489248</v>
      </c>
    </row>
    <row r="71" spans="1:9" x14ac:dyDescent="0.25">
      <c r="A71" s="187" t="s">
        <v>377</v>
      </c>
      <c r="B71" s="137" t="s">
        <v>14</v>
      </c>
      <c r="C71" s="185">
        <f>24*10%</f>
        <v>2.4000000000000004</v>
      </c>
      <c r="D71" s="138">
        <f>30000/655.957</f>
        <v>45.734705171223112</v>
      </c>
      <c r="E71" s="188">
        <f t="shared" si="35"/>
        <v>109.76329241093549</v>
      </c>
      <c r="F71" s="137" t="s">
        <v>14</v>
      </c>
      <c r="G71" s="140">
        <f>C71/2</f>
        <v>1.2000000000000002</v>
      </c>
      <c r="H71" s="140">
        <f t="shared" si="36"/>
        <v>45.734705171223112</v>
      </c>
      <c r="I71" s="151">
        <f t="shared" si="37"/>
        <v>54.881646205467746</v>
      </c>
    </row>
    <row r="72" spans="1:9" x14ac:dyDescent="0.25">
      <c r="A72" s="23" t="s">
        <v>151</v>
      </c>
      <c r="B72" s="13"/>
      <c r="C72" s="7"/>
      <c r="D72" s="7"/>
      <c r="E72" s="189"/>
      <c r="F72" s="32"/>
      <c r="G72" s="7"/>
      <c r="H72" s="7"/>
      <c r="I72" s="151">
        <f t="shared" si="26"/>
        <v>0</v>
      </c>
    </row>
    <row r="73" spans="1:9" x14ac:dyDescent="0.25">
      <c r="A73" s="187" t="s">
        <v>380</v>
      </c>
      <c r="B73" s="207" t="s">
        <v>97</v>
      </c>
      <c r="C73" s="185">
        <f>24*10%</f>
        <v>2.4000000000000004</v>
      </c>
      <c r="D73" s="138">
        <f>50000/655.957</f>
        <v>76.224508618705187</v>
      </c>
      <c r="E73" s="188">
        <f t="shared" ref="E73:E75" si="38">C73*D73</f>
        <v>182.93882068489248</v>
      </c>
      <c r="F73" s="137" t="s">
        <v>14</v>
      </c>
      <c r="G73" s="150">
        <f>C73/2</f>
        <v>1.2000000000000002</v>
      </c>
      <c r="H73" s="150">
        <f>D73</f>
        <v>76.224508618705187</v>
      </c>
      <c r="I73" s="151">
        <f t="shared" si="37"/>
        <v>91.469410342446238</v>
      </c>
    </row>
    <row r="74" spans="1:9" x14ac:dyDescent="0.25">
      <c r="A74" s="187" t="s">
        <v>381</v>
      </c>
      <c r="B74" s="207" t="s">
        <v>97</v>
      </c>
      <c r="C74" s="185">
        <f t="shared" ref="C74:C75" si="39">24*10%</f>
        <v>2.4000000000000004</v>
      </c>
      <c r="D74" s="138">
        <f t="shared" ref="D74:D75" si="40">50000/655.957</f>
        <v>76.224508618705187</v>
      </c>
      <c r="E74" s="188">
        <f t="shared" si="38"/>
        <v>182.93882068489248</v>
      </c>
      <c r="F74" s="137" t="s">
        <v>14</v>
      </c>
      <c r="G74" s="150">
        <f t="shared" ref="G74:G75" si="41">C74/2</f>
        <v>1.2000000000000002</v>
      </c>
      <c r="H74" s="150">
        <f t="shared" ref="H74:H75" si="42">D74</f>
        <v>76.224508618705187</v>
      </c>
      <c r="I74" s="151">
        <f t="shared" si="37"/>
        <v>91.469410342446238</v>
      </c>
    </row>
    <row r="75" spans="1:9" x14ac:dyDescent="0.25">
      <c r="A75" s="187" t="s">
        <v>382</v>
      </c>
      <c r="B75" s="207" t="s">
        <v>97</v>
      </c>
      <c r="C75" s="185">
        <f t="shared" si="39"/>
        <v>2.4000000000000004</v>
      </c>
      <c r="D75" s="138">
        <f t="shared" si="40"/>
        <v>76.224508618705187</v>
      </c>
      <c r="E75" s="188">
        <f t="shared" si="38"/>
        <v>182.93882068489248</v>
      </c>
      <c r="F75" s="137" t="s">
        <v>14</v>
      </c>
      <c r="G75" s="150">
        <f t="shared" si="41"/>
        <v>1.2000000000000002</v>
      </c>
      <c r="H75" s="150">
        <f t="shared" si="42"/>
        <v>76.224508618705187</v>
      </c>
      <c r="I75" s="151">
        <f t="shared" si="37"/>
        <v>91.469410342446238</v>
      </c>
    </row>
    <row r="76" spans="1:9" ht="12.75" customHeight="1" x14ac:dyDescent="0.25">
      <c r="A76" s="23" t="s">
        <v>157</v>
      </c>
      <c r="B76" s="5" t="s">
        <v>21</v>
      </c>
      <c r="C76" s="2"/>
      <c r="D76" s="2"/>
      <c r="E76" s="190"/>
      <c r="F76" s="48" t="s">
        <v>22</v>
      </c>
      <c r="G76" s="2"/>
      <c r="H76" s="2"/>
      <c r="I76" s="151">
        <f t="shared" si="26"/>
        <v>0</v>
      </c>
    </row>
    <row r="77" spans="1:9" ht="12.75" customHeight="1" x14ac:dyDescent="0.25">
      <c r="A77" s="139" t="s">
        <v>158</v>
      </c>
      <c r="B77" s="137"/>
      <c r="C77" s="138"/>
      <c r="D77" s="138"/>
      <c r="E77" s="188"/>
      <c r="F77" s="130"/>
      <c r="G77" s="131"/>
      <c r="H77" s="132"/>
      <c r="I77" s="151"/>
    </row>
    <row r="78" spans="1:9" ht="12.75" customHeight="1" x14ac:dyDescent="0.25">
      <c r="A78" s="187" t="s">
        <v>286</v>
      </c>
      <c r="B78" s="137" t="s">
        <v>14</v>
      </c>
      <c r="C78" s="138">
        <f t="shared" ref="C78:C80" si="43">24*20%</f>
        <v>4.8000000000000007</v>
      </c>
      <c r="D78" s="138">
        <f>50000/655.957</f>
        <v>76.224508618705187</v>
      </c>
      <c r="E78" s="188">
        <f>C78*D78</f>
        <v>365.87764136978495</v>
      </c>
      <c r="F78" s="137" t="s">
        <v>14</v>
      </c>
      <c r="G78" s="162">
        <f>C78/2</f>
        <v>2.4000000000000004</v>
      </c>
      <c r="H78" s="163">
        <f>D78</f>
        <v>76.224508618705187</v>
      </c>
      <c r="I78" s="151">
        <f t="shared" ref="I78" si="44">G78*H78</f>
        <v>182.93882068489248</v>
      </c>
    </row>
    <row r="79" spans="1:9" ht="12.75" customHeight="1" x14ac:dyDescent="0.25">
      <c r="A79" s="187" t="s">
        <v>287</v>
      </c>
      <c r="B79" s="137" t="s">
        <v>14</v>
      </c>
      <c r="C79" s="138">
        <f t="shared" si="43"/>
        <v>4.8000000000000007</v>
      </c>
      <c r="D79" s="138">
        <f>50000/655.957</f>
        <v>76.224508618705187</v>
      </c>
      <c r="E79" s="188">
        <f>C79*D79</f>
        <v>365.87764136978495</v>
      </c>
      <c r="F79" s="137" t="s">
        <v>14</v>
      </c>
      <c r="G79" s="162">
        <f t="shared" ref="G79:G87" si="45">C79/2</f>
        <v>2.4000000000000004</v>
      </c>
      <c r="H79" s="163">
        <f t="shared" ref="H79:H87" si="46">D79</f>
        <v>76.224508618705187</v>
      </c>
      <c r="I79" s="151">
        <f t="shared" ref="I79:I87" si="47">G79*H79</f>
        <v>182.93882068489248</v>
      </c>
    </row>
    <row r="80" spans="1:9" ht="12.75" customHeight="1" x14ac:dyDescent="0.25">
      <c r="A80" s="187" t="s">
        <v>288</v>
      </c>
      <c r="B80" s="137" t="s">
        <v>14</v>
      </c>
      <c r="C80" s="138">
        <f t="shared" si="43"/>
        <v>4.8000000000000007</v>
      </c>
      <c r="D80" s="138">
        <f>50000/655.957</f>
        <v>76.224508618705187</v>
      </c>
      <c r="E80" s="188">
        <f>C80*D80</f>
        <v>365.87764136978495</v>
      </c>
      <c r="F80" s="137" t="s">
        <v>14</v>
      </c>
      <c r="G80" s="162">
        <f t="shared" si="45"/>
        <v>2.4000000000000004</v>
      </c>
      <c r="H80" s="163">
        <f t="shared" si="46"/>
        <v>76.224508618705187</v>
      </c>
      <c r="I80" s="151">
        <f t="shared" si="47"/>
        <v>182.93882068489248</v>
      </c>
    </row>
    <row r="81" spans="1:9" ht="12.75" customHeight="1" x14ac:dyDescent="0.25">
      <c r="A81" s="161" t="s">
        <v>159</v>
      </c>
      <c r="B81" s="137"/>
      <c r="C81" s="138"/>
      <c r="D81" s="138"/>
      <c r="E81" s="188"/>
      <c r="F81" s="137"/>
      <c r="G81" s="162"/>
      <c r="H81" s="163"/>
      <c r="I81" s="151"/>
    </row>
    <row r="82" spans="1:9" ht="12.75" customHeight="1" x14ac:dyDescent="0.25">
      <c r="A82" s="187" t="s">
        <v>384</v>
      </c>
      <c r="B82" s="207" t="s">
        <v>97</v>
      </c>
      <c r="C82" s="185">
        <f>24*15%</f>
        <v>3.5999999999999996</v>
      </c>
      <c r="D82" s="138">
        <f>75000/655.957</f>
        <v>114.33676292805778</v>
      </c>
      <c r="E82" s="188">
        <f t="shared" ref="E82:E87" si="48">C82*D82</f>
        <v>411.61234654100798</v>
      </c>
      <c r="F82" s="137" t="s">
        <v>14</v>
      </c>
      <c r="G82" s="162">
        <f t="shared" si="45"/>
        <v>1.7999999999999998</v>
      </c>
      <c r="H82" s="163">
        <f t="shared" si="46"/>
        <v>114.33676292805778</v>
      </c>
      <c r="I82" s="151">
        <f t="shared" si="47"/>
        <v>205.80617327050399</v>
      </c>
    </row>
    <row r="83" spans="1:9" ht="12.75" customHeight="1" x14ac:dyDescent="0.25">
      <c r="A83" s="187" t="s">
        <v>385</v>
      </c>
      <c r="B83" s="207" t="s">
        <v>97</v>
      </c>
      <c r="C83" s="185">
        <f>24*15%</f>
        <v>3.5999999999999996</v>
      </c>
      <c r="D83" s="138">
        <f>75000/655.957</f>
        <v>114.33676292805778</v>
      </c>
      <c r="E83" s="188">
        <f>C83*D83</f>
        <v>411.61234654100798</v>
      </c>
      <c r="F83" s="137" t="s">
        <v>14</v>
      </c>
      <c r="G83" s="162">
        <f t="shared" si="45"/>
        <v>1.7999999999999998</v>
      </c>
      <c r="H83" s="163">
        <f t="shared" si="46"/>
        <v>114.33676292805778</v>
      </c>
      <c r="I83" s="151">
        <f t="shared" si="47"/>
        <v>205.80617327050399</v>
      </c>
    </row>
    <row r="84" spans="1:9" ht="12.75" customHeight="1" x14ac:dyDescent="0.25">
      <c r="A84" s="161" t="s">
        <v>160</v>
      </c>
      <c r="B84" s="137"/>
      <c r="C84" s="138"/>
      <c r="D84" s="138"/>
      <c r="E84" s="188"/>
      <c r="F84" s="137"/>
      <c r="G84" s="162"/>
      <c r="H84" s="163"/>
      <c r="I84" s="151"/>
    </row>
    <row r="85" spans="1:9" ht="12.75" customHeight="1" x14ac:dyDescent="0.25">
      <c r="A85" s="187" t="s">
        <v>289</v>
      </c>
      <c r="B85" s="137" t="s">
        <v>14</v>
      </c>
      <c r="C85" s="138">
        <f t="shared" ref="C85:C87" si="49">24*20%</f>
        <v>4.8000000000000007</v>
      </c>
      <c r="D85" s="138">
        <f>30000/655.957</f>
        <v>45.734705171223112</v>
      </c>
      <c r="E85" s="188">
        <f t="shared" si="48"/>
        <v>219.52658482187098</v>
      </c>
      <c r="F85" s="137" t="s">
        <v>14</v>
      </c>
      <c r="G85" s="162">
        <f t="shared" si="45"/>
        <v>2.4000000000000004</v>
      </c>
      <c r="H85" s="163">
        <f t="shared" si="46"/>
        <v>45.734705171223112</v>
      </c>
      <c r="I85" s="151">
        <f t="shared" si="47"/>
        <v>109.76329241093549</v>
      </c>
    </row>
    <row r="86" spans="1:9" ht="12.75" customHeight="1" x14ac:dyDescent="0.25">
      <c r="A86" s="187" t="s">
        <v>290</v>
      </c>
      <c r="B86" s="137" t="s">
        <v>14</v>
      </c>
      <c r="C86" s="138">
        <f t="shared" si="49"/>
        <v>4.8000000000000007</v>
      </c>
      <c r="D86" s="138">
        <f>30000/655.957</f>
        <v>45.734705171223112</v>
      </c>
      <c r="E86" s="188">
        <f t="shared" si="48"/>
        <v>219.52658482187098</v>
      </c>
      <c r="F86" s="137" t="s">
        <v>14</v>
      </c>
      <c r="G86" s="162">
        <f t="shared" si="45"/>
        <v>2.4000000000000004</v>
      </c>
      <c r="H86" s="163">
        <f t="shared" si="46"/>
        <v>45.734705171223112</v>
      </c>
      <c r="I86" s="151">
        <f t="shared" si="47"/>
        <v>109.76329241093549</v>
      </c>
    </row>
    <row r="87" spans="1:9" ht="12.75" customHeight="1" thickBot="1" x14ac:dyDescent="0.3">
      <c r="A87" s="187" t="s">
        <v>291</v>
      </c>
      <c r="B87" s="137" t="s">
        <v>14</v>
      </c>
      <c r="C87" s="138">
        <f t="shared" si="49"/>
        <v>4.8000000000000007</v>
      </c>
      <c r="D87" s="138">
        <f>30000/655.957</f>
        <v>45.734705171223112</v>
      </c>
      <c r="E87" s="188">
        <f t="shared" si="48"/>
        <v>219.52658482187098</v>
      </c>
      <c r="F87" s="137" t="s">
        <v>14</v>
      </c>
      <c r="G87" s="162">
        <f t="shared" si="45"/>
        <v>2.4000000000000004</v>
      </c>
      <c r="H87" s="163">
        <f t="shared" si="46"/>
        <v>45.734705171223112</v>
      </c>
      <c r="I87" s="151">
        <f t="shared" si="47"/>
        <v>109.76329241093549</v>
      </c>
    </row>
    <row r="88" spans="1:9" ht="15" customHeight="1" thickBot="1" x14ac:dyDescent="0.3">
      <c r="A88" s="40" t="s">
        <v>23</v>
      </c>
      <c r="B88" s="41"/>
      <c r="C88" s="42"/>
      <c r="D88" s="43"/>
      <c r="E88" s="152">
        <f>SUM(E57:E87)</f>
        <v>13647.458598658144</v>
      </c>
      <c r="F88" s="41"/>
      <c r="G88" s="42"/>
      <c r="H88" s="43"/>
      <c r="I88" s="152">
        <f>SUM(I57:I87)</f>
        <v>6556.9435191636039</v>
      </c>
    </row>
    <row r="89" spans="1:9" ht="15" customHeight="1" x14ac:dyDescent="0.25">
      <c r="A89" s="55" t="s">
        <v>24</v>
      </c>
      <c r="B89" s="4"/>
      <c r="C89" s="1"/>
      <c r="D89" s="1"/>
      <c r="E89" s="149"/>
      <c r="F89" s="31"/>
      <c r="G89" s="1"/>
      <c r="H89" s="1"/>
      <c r="I89" s="34"/>
    </row>
    <row r="90" spans="1:9" ht="15.6" x14ac:dyDescent="0.25">
      <c r="A90" s="23" t="s">
        <v>172</v>
      </c>
      <c r="B90" s="5"/>
      <c r="C90" s="2"/>
      <c r="D90" s="2"/>
      <c r="E90" s="149"/>
      <c r="F90" s="48"/>
      <c r="G90" s="2"/>
      <c r="H90" s="2"/>
      <c r="I90" s="34"/>
    </row>
    <row r="91" spans="1:9" ht="15.6" x14ac:dyDescent="0.25">
      <c r="A91" s="23" t="s">
        <v>171</v>
      </c>
      <c r="B91" s="5"/>
      <c r="C91" s="2"/>
      <c r="D91" s="2"/>
      <c r="E91" s="188"/>
      <c r="F91" s="48"/>
      <c r="G91" s="2"/>
      <c r="H91" s="2"/>
      <c r="I91" s="34"/>
    </row>
    <row r="92" spans="1:9" x14ac:dyDescent="0.25">
      <c r="A92" s="173" t="s">
        <v>275</v>
      </c>
      <c r="B92" s="5" t="s">
        <v>212</v>
      </c>
      <c r="C92" s="138">
        <v>1</v>
      </c>
      <c r="D92" s="138">
        <v>8551.17</v>
      </c>
      <c r="E92" s="188">
        <f t="shared" ref="E92:E94" si="50">C92*D92</f>
        <v>8551.17</v>
      </c>
      <c r="F92" s="5" t="s">
        <v>212</v>
      </c>
      <c r="G92" s="138">
        <f>C92</f>
        <v>1</v>
      </c>
      <c r="H92" s="2">
        <f>D92</f>
        <v>8551.17</v>
      </c>
      <c r="I92" s="151">
        <f t="shared" ref="I92" si="51">G92*H92</f>
        <v>8551.17</v>
      </c>
    </row>
    <row r="93" spans="1:9" x14ac:dyDescent="0.25">
      <c r="A93" s="165" t="s">
        <v>169</v>
      </c>
      <c r="B93" s="5"/>
      <c r="C93" s="2"/>
      <c r="D93" s="2"/>
      <c r="E93" s="188"/>
      <c r="F93" s="48"/>
      <c r="G93" s="2"/>
      <c r="H93" s="2"/>
      <c r="I93" s="34"/>
    </row>
    <row r="94" spans="1:9" x14ac:dyDescent="0.25">
      <c r="A94" s="164" t="s">
        <v>170</v>
      </c>
      <c r="B94" s="137" t="s">
        <v>173</v>
      </c>
      <c r="C94" s="138">
        <v>1</v>
      </c>
      <c r="D94" s="138">
        <f>5000000/655.957</f>
        <v>7622.4508618705195</v>
      </c>
      <c r="E94" s="188">
        <f t="shared" si="50"/>
        <v>7622.4508618705195</v>
      </c>
      <c r="F94" s="48"/>
      <c r="G94" s="2"/>
      <c r="H94" s="2"/>
      <c r="I94" s="34"/>
    </row>
    <row r="95" spans="1:9" x14ac:dyDescent="0.25">
      <c r="A95" s="23" t="s">
        <v>175</v>
      </c>
      <c r="B95" s="5"/>
      <c r="C95" s="138"/>
      <c r="D95" s="2"/>
      <c r="E95" s="188"/>
      <c r="F95" s="48"/>
      <c r="G95" s="2"/>
      <c r="H95" s="2"/>
      <c r="I95" s="34"/>
    </row>
    <row r="96" spans="1:9" x14ac:dyDescent="0.25">
      <c r="A96" s="143" t="s">
        <v>174</v>
      </c>
      <c r="B96" s="137" t="s">
        <v>176</v>
      </c>
      <c r="C96" s="138">
        <v>1</v>
      </c>
      <c r="D96" s="138">
        <f>(5000000/655.957)</f>
        <v>7622.4508618705195</v>
      </c>
      <c r="E96" s="188">
        <f t="shared" ref="E96" si="52">C96*D96</f>
        <v>7622.4508618705195</v>
      </c>
      <c r="F96" s="48"/>
      <c r="G96" s="2"/>
      <c r="H96" s="2"/>
      <c r="I96" s="34"/>
    </row>
    <row r="97" spans="1:9" x14ac:dyDescent="0.25">
      <c r="A97" s="23" t="s">
        <v>180</v>
      </c>
      <c r="B97" s="13"/>
      <c r="C97" s="7"/>
      <c r="D97" s="7"/>
      <c r="E97" s="188"/>
      <c r="F97" s="32"/>
      <c r="G97" s="7"/>
      <c r="H97" s="7"/>
      <c r="I97" s="34"/>
    </row>
    <row r="98" spans="1:9" ht="26.4" x14ac:dyDescent="0.25">
      <c r="A98" s="23" t="s">
        <v>181</v>
      </c>
      <c r="B98" s="13"/>
      <c r="C98" s="7"/>
      <c r="D98" s="7"/>
      <c r="E98" s="188"/>
      <c r="F98" s="32"/>
      <c r="G98" s="7"/>
      <c r="H98" s="7"/>
      <c r="I98" s="34"/>
    </row>
    <row r="99" spans="1:9" x14ac:dyDescent="0.25">
      <c r="A99" s="143" t="s">
        <v>182</v>
      </c>
      <c r="B99" s="137" t="s">
        <v>14</v>
      </c>
      <c r="C99" s="138">
        <f>24</f>
        <v>24</v>
      </c>
      <c r="D99" s="138">
        <f>20000/655.957</f>
        <v>30.489803447482075</v>
      </c>
      <c r="E99" s="188">
        <f t="shared" ref="E99:E101" si="53">C99*D99</f>
        <v>731.75528273956979</v>
      </c>
      <c r="F99" s="137" t="s">
        <v>14</v>
      </c>
      <c r="G99" s="150">
        <f>C99/2</f>
        <v>12</v>
      </c>
      <c r="H99" s="150">
        <f>D99</f>
        <v>30.489803447482075</v>
      </c>
      <c r="I99" s="151">
        <f t="shared" ref="I99" si="54">G99*H99</f>
        <v>365.8776413697849</v>
      </c>
    </row>
    <row r="100" spans="1:9" x14ac:dyDescent="0.25">
      <c r="A100" s="143" t="s">
        <v>188</v>
      </c>
      <c r="B100" s="137" t="s">
        <v>14</v>
      </c>
      <c r="C100" s="138">
        <f>24</f>
        <v>24</v>
      </c>
      <c r="D100" s="138">
        <f t="shared" ref="D100:D101" si="55">20000/655.957</f>
        <v>30.489803447482075</v>
      </c>
      <c r="E100" s="188">
        <f t="shared" si="53"/>
        <v>731.75528273956979</v>
      </c>
      <c r="F100" s="137" t="s">
        <v>14</v>
      </c>
      <c r="G100" s="150">
        <f t="shared" ref="G100:G101" si="56">C100/2</f>
        <v>12</v>
      </c>
      <c r="H100" s="150">
        <f t="shared" ref="H100:H101" si="57">D100</f>
        <v>30.489803447482075</v>
      </c>
      <c r="I100" s="151">
        <f t="shared" ref="I100:I101" si="58">G100*H100</f>
        <v>365.8776413697849</v>
      </c>
    </row>
    <row r="101" spans="1:9" x14ac:dyDescent="0.25">
      <c r="A101" s="143" t="s">
        <v>189</v>
      </c>
      <c r="B101" s="137" t="s">
        <v>14</v>
      </c>
      <c r="C101" s="138">
        <f>24</f>
        <v>24</v>
      </c>
      <c r="D101" s="138">
        <f t="shared" si="55"/>
        <v>30.489803447482075</v>
      </c>
      <c r="E101" s="188">
        <f t="shared" si="53"/>
        <v>731.75528273956979</v>
      </c>
      <c r="F101" s="137" t="s">
        <v>14</v>
      </c>
      <c r="G101" s="150">
        <f t="shared" si="56"/>
        <v>12</v>
      </c>
      <c r="H101" s="150">
        <f t="shared" si="57"/>
        <v>30.489803447482075</v>
      </c>
      <c r="I101" s="151">
        <f t="shared" si="58"/>
        <v>365.8776413697849</v>
      </c>
    </row>
    <row r="102" spans="1:9" ht="15.6" x14ac:dyDescent="0.25">
      <c r="A102" s="23" t="s">
        <v>192</v>
      </c>
      <c r="B102" s="13"/>
      <c r="C102" s="7"/>
      <c r="D102" s="7"/>
      <c r="E102" s="188"/>
      <c r="F102" s="32"/>
      <c r="G102" s="7"/>
      <c r="H102" s="7"/>
      <c r="I102" s="34"/>
    </row>
    <row r="103" spans="1:9" ht="15.6" x14ac:dyDescent="0.25">
      <c r="A103" s="23" t="s">
        <v>193</v>
      </c>
      <c r="B103" s="26"/>
      <c r="C103" s="25"/>
      <c r="D103" s="25"/>
      <c r="E103" s="188"/>
      <c r="F103" s="32"/>
      <c r="G103" s="25"/>
      <c r="H103" s="25"/>
      <c r="I103" s="34"/>
    </row>
    <row r="104" spans="1:9" ht="26.4" x14ac:dyDescent="0.25">
      <c r="A104" s="143" t="s">
        <v>296</v>
      </c>
      <c r="B104" s="167" t="s">
        <v>121</v>
      </c>
      <c r="C104" s="185">
        <f>1*3</f>
        <v>3</v>
      </c>
      <c r="D104" s="138">
        <f>70000/655.957</f>
        <v>106.71431206618726</v>
      </c>
      <c r="E104" s="188">
        <f t="shared" ref="E104:E114" si="59">C104*D104</f>
        <v>320.14293619856176</v>
      </c>
      <c r="F104" s="167" t="s">
        <v>121</v>
      </c>
      <c r="G104" s="168">
        <f>C104</f>
        <v>3</v>
      </c>
      <c r="H104" s="168">
        <f>D104</f>
        <v>106.71431206618726</v>
      </c>
      <c r="I104" s="151">
        <f t="shared" ref="I104" si="60">G104*H104</f>
        <v>320.14293619856176</v>
      </c>
    </row>
    <row r="105" spans="1:9" ht="26.4" x14ac:dyDescent="0.25">
      <c r="A105" s="143" t="s">
        <v>297</v>
      </c>
      <c r="B105" s="167" t="s">
        <v>121</v>
      </c>
      <c r="C105" s="138">
        <f>50</f>
        <v>50</v>
      </c>
      <c r="D105" s="138">
        <f>2000/655.957</f>
        <v>3.0489803447482076</v>
      </c>
      <c r="E105" s="188">
        <f>C105*D105</f>
        <v>152.44901723741037</v>
      </c>
      <c r="F105" s="167" t="s">
        <v>121</v>
      </c>
      <c r="G105" s="168">
        <f t="shared" ref="G105:G112" si="61">C105</f>
        <v>50</v>
      </c>
      <c r="H105" s="168">
        <f t="shared" ref="H105:H112" si="62">D105</f>
        <v>3.0489803447482076</v>
      </c>
      <c r="I105" s="151">
        <f t="shared" ref="I105:I114" si="63">G105*H105</f>
        <v>152.44901723741037</v>
      </c>
    </row>
    <row r="106" spans="1:9" ht="26.4" x14ac:dyDescent="0.25">
      <c r="A106" s="143" t="s">
        <v>298</v>
      </c>
      <c r="B106" s="167" t="s">
        <v>121</v>
      </c>
      <c r="C106" s="138">
        <f>1</f>
        <v>1</v>
      </c>
      <c r="D106" s="138">
        <f>25000/655.957</f>
        <v>38.112254309352593</v>
      </c>
      <c r="E106" s="188">
        <f t="shared" ref="E106" si="64">C106*D106</f>
        <v>38.112254309352593</v>
      </c>
      <c r="F106" s="167" t="s">
        <v>121</v>
      </c>
      <c r="G106" s="168">
        <f t="shared" ref="G106" si="65">C106</f>
        <v>1</v>
      </c>
      <c r="H106" s="168">
        <f t="shared" ref="H106" si="66">D106</f>
        <v>38.112254309352593</v>
      </c>
      <c r="I106" s="151">
        <f t="shared" ref="I106" si="67">G106*H106</f>
        <v>38.112254309352593</v>
      </c>
    </row>
    <row r="107" spans="1:9" ht="26.4" x14ac:dyDescent="0.25">
      <c r="A107" s="143" t="s">
        <v>299</v>
      </c>
      <c r="B107" s="167" t="s">
        <v>121</v>
      </c>
      <c r="C107" s="138">
        <v>1</v>
      </c>
      <c r="D107" s="138">
        <f>70000/655.957</f>
        <v>106.71431206618726</v>
      </c>
      <c r="E107" s="188">
        <f t="shared" si="59"/>
        <v>106.71431206618726</v>
      </c>
      <c r="F107" s="167" t="s">
        <v>121</v>
      </c>
      <c r="G107" s="168">
        <f t="shared" si="61"/>
        <v>1</v>
      </c>
      <c r="H107" s="168">
        <f t="shared" si="62"/>
        <v>106.71431206618726</v>
      </c>
      <c r="I107" s="151">
        <f t="shared" si="63"/>
        <v>106.71431206618726</v>
      </c>
    </row>
    <row r="108" spans="1:9" ht="26.4" x14ac:dyDescent="0.25">
      <c r="A108" s="143" t="s">
        <v>306</v>
      </c>
      <c r="B108" s="167" t="s">
        <v>121</v>
      </c>
      <c r="C108" s="138">
        <v>1</v>
      </c>
      <c r="D108" s="138">
        <f>85000/655.957</f>
        <v>129.58166465179883</v>
      </c>
      <c r="E108" s="188">
        <f>C108*D108</f>
        <v>129.58166465179883</v>
      </c>
      <c r="F108" s="167" t="s">
        <v>121</v>
      </c>
      <c r="G108" s="168">
        <f t="shared" si="61"/>
        <v>1</v>
      </c>
      <c r="H108" s="168">
        <f t="shared" si="62"/>
        <v>129.58166465179883</v>
      </c>
      <c r="I108" s="151">
        <f t="shared" si="63"/>
        <v>129.58166465179883</v>
      </c>
    </row>
    <row r="109" spans="1:9" ht="26.4" x14ac:dyDescent="0.25">
      <c r="A109" s="143" t="s">
        <v>307</v>
      </c>
      <c r="B109" s="167" t="s">
        <v>121</v>
      </c>
      <c r="C109" s="138">
        <f>1</f>
        <v>1</v>
      </c>
      <c r="D109" s="138">
        <f>25000/655.957</f>
        <v>38.112254309352593</v>
      </c>
      <c r="E109" s="188">
        <f>C109*D109</f>
        <v>38.112254309352593</v>
      </c>
      <c r="F109" s="167" t="s">
        <v>121</v>
      </c>
      <c r="G109" s="168">
        <f t="shared" si="61"/>
        <v>1</v>
      </c>
      <c r="H109" s="168">
        <f t="shared" si="62"/>
        <v>38.112254309352593</v>
      </c>
      <c r="I109" s="151">
        <f t="shared" si="63"/>
        <v>38.112254309352593</v>
      </c>
    </row>
    <row r="110" spans="1:9" ht="26.4" x14ac:dyDescent="0.25">
      <c r="A110" s="143" t="s">
        <v>261</v>
      </c>
      <c r="B110" s="167" t="s">
        <v>121</v>
      </c>
      <c r="C110" s="138">
        <v>1</v>
      </c>
      <c r="D110" s="138">
        <f>70000/655.957</f>
        <v>106.71431206618726</v>
      </c>
      <c r="E110" s="188">
        <f t="shared" si="59"/>
        <v>106.71431206618726</v>
      </c>
      <c r="F110" s="167" t="s">
        <v>121</v>
      </c>
      <c r="G110" s="168">
        <f t="shared" si="61"/>
        <v>1</v>
      </c>
      <c r="H110" s="168">
        <f t="shared" si="62"/>
        <v>106.71431206618726</v>
      </c>
      <c r="I110" s="151">
        <f t="shared" si="63"/>
        <v>106.71431206618726</v>
      </c>
    </row>
    <row r="111" spans="1:9" ht="26.4" x14ac:dyDescent="0.25">
      <c r="A111" s="143" t="s">
        <v>309</v>
      </c>
      <c r="B111" s="167" t="s">
        <v>121</v>
      </c>
      <c r="C111" s="138">
        <v>1</v>
      </c>
      <c r="D111" s="138">
        <f>85000/655.957</f>
        <v>129.58166465179883</v>
      </c>
      <c r="E111" s="188">
        <f t="shared" si="59"/>
        <v>129.58166465179883</v>
      </c>
      <c r="F111" s="167" t="s">
        <v>121</v>
      </c>
      <c r="G111" s="168">
        <f t="shared" si="61"/>
        <v>1</v>
      </c>
      <c r="H111" s="168">
        <f t="shared" si="62"/>
        <v>129.58166465179883</v>
      </c>
      <c r="I111" s="151">
        <f t="shared" si="63"/>
        <v>129.58166465179883</v>
      </c>
    </row>
    <row r="112" spans="1:9" ht="26.4" x14ac:dyDescent="0.25">
      <c r="A112" s="143" t="s">
        <v>310</v>
      </c>
      <c r="B112" s="167" t="s">
        <v>121</v>
      </c>
      <c r="C112" s="138">
        <f>1</f>
        <v>1</v>
      </c>
      <c r="D112" s="138">
        <f>25000/655.957</f>
        <v>38.112254309352593</v>
      </c>
      <c r="E112" s="188">
        <f t="shared" si="59"/>
        <v>38.112254309352593</v>
      </c>
      <c r="F112" s="167" t="s">
        <v>121</v>
      </c>
      <c r="G112" s="168">
        <f t="shared" si="61"/>
        <v>1</v>
      </c>
      <c r="H112" s="168">
        <f t="shared" si="62"/>
        <v>38.112254309352593</v>
      </c>
      <c r="I112" s="151">
        <f t="shared" si="63"/>
        <v>38.112254309352593</v>
      </c>
    </row>
    <row r="113" spans="1:9" x14ac:dyDescent="0.25">
      <c r="A113" s="23" t="s">
        <v>194</v>
      </c>
      <c r="B113" s="26"/>
      <c r="C113" s="25"/>
      <c r="D113" s="25"/>
      <c r="E113" s="188"/>
      <c r="F113" s="32"/>
      <c r="G113" s="25"/>
      <c r="H113" s="25"/>
      <c r="I113" s="34"/>
    </row>
    <row r="114" spans="1:9" ht="13.8" thickBot="1" x14ac:dyDescent="0.3">
      <c r="A114" s="143" t="s">
        <v>195</v>
      </c>
      <c r="B114" s="167" t="s">
        <v>196</v>
      </c>
      <c r="C114" s="138">
        <f>1</f>
        <v>1</v>
      </c>
      <c r="D114" s="138">
        <f>3500000/655.957</f>
        <v>5335.7156033093634</v>
      </c>
      <c r="E114" s="188">
        <f t="shared" si="59"/>
        <v>5335.7156033093634</v>
      </c>
      <c r="F114" s="167" t="s">
        <v>196</v>
      </c>
      <c r="G114" s="170">
        <f>C114</f>
        <v>1</v>
      </c>
      <c r="H114" s="170">
        <f>D114</f>
        <v>5335.7156033093634</v>
      </c>
      <c r="I114" s="151">
        <f t="shared" si="63"/>
        <v>5335.7156033093634</v>
      </c>
    </row>
    <row r="115" spans="1:9" ht="15" customHeight="1" thickBot="1" x14ac:dyDescent="0.3">
      <c r="A115" s="40" t="s">
        <v>25</v>
      </c>
      <c r="B115" s="41"/>
      <c r="C115" s="42"/>
      <c r="D115" s="43"/>
      <c r="E115" s="152">
        <f>SUM(E90:E114)</f>
        <v>32386.57384506911</v>
      </c>
      <c r="F115" s="41"/>
      <c r="G115" s="42"/>
      <c r="H115" s="43"/>
      <c r="I115" s="152">
        <f>SUM(I90:I114)</f>
        <v>16044.039197218724</v>
      </c>
    </row>
    <row r="116" spans="1:9" ht="15" customHeight="1" x14ac:dyDescent="0.25">
      <c r="A116" s="55" t="s">
        <v>26</v>
      </c>
      <c r="B116" s="6"/>
      <c r="C116" s="3"/>
      <c r="D116" s="3"/>
      <c r="E116" s="54"/>
      <c r="F116" s="49"/>
      <c r="G116" s="3"/>
      <c r="H116" s="3"/>
      <c r="I116" s="33"/>
    </row>
    <row r="117" spans="1:9" ht="32.25" customHeight="1" x14ac:dyDescent="0.25">
      <c r="A117" s="145" t="s">
        <v>205</v>
      </c>
      <c r="B117" s="6"/>
      <c r="C117" s="3"/>
      <c r="D117" s="3"/>
      <c r="E117" s="54"/>
      <c r="F117" s="49"/>
      <c r="G117" s="3"/>
      <c r="H117" s="3"/>
      <c r="I117" s="33"/>
    </row>
    <row r="118" spans="1:9" ht="29.25" customHeight="1" x14ac:dyDescent="0.25">
      <c r="A118" s="145" t="s">
        <v>206</v>
      </c>
      <c r="B118" s="6" t="s">
        <v>214</v>
      </c>
      <c r="C118" s="176">
        <f>179+6+116</f>
        <v>301</v>
      </c>
      <c r="D118" s="138">
        <v>26.853311939958466</v>
      </c>
      <c r="E118" s="149">
        <f t="shared" ref="E118:E129" si="68">C118*D118</f>
        <v>8082.8468939274981</v>
      </c>
      <c r="F118" s="6" t="s">
        <v>214</v>
      </c>
      <c r="G118" s="178">
        <f>C118</f>
        <v>301</v>
      </c>
      <c r="H118" s="178">
        <f>D118</f>
        <v>26.853311939958466</v>
      </c>
      <c r="I118" s="151">
        <f t="shared" ref="I118:I134" si="69">G118*H118</f>
        <v>8082.8468939274981</v>
      </c>
    </row>
    <row r="119" spans="1:9" ht="30.75" customHeight="1" x14ac:dyDescent="0.25">
      <c r="A119" s="145" t="s">
        <v>316</v>
      </c>
      <c r="B119" s="6" t="s">
        <v>217</v>
      </c>
      <c r="C119" s="176">
        <f>804</f>
        <v>804</v>
      </c>
      <c r="D119" s="138">
        <v>30.975971706433217</v>
      </c>
      <c r="E119" s="149">
        <f t="shared" si="68"/>
        <v>24904.681251972306</v>
      </c>
      <c r="F119" s="6" t="s">
        <v>217</v>
      </c>
      <c r="G119" s="178">
        <f>C119</f>
        <v>804</v>
      </c>
      <c r="H119" s="178">
        <f>D119</f>
        <v>30.975971706433217</v>
      </c>
      <c r="I119" s="151">
        <f t="shared" si="69"/>
        <v>24904.681251972306</v>
      </c>
    </row>
    <row r="120" spans="1:9" ht="28.5" customHeight="1" x14ac:dyDescent="0.25">
      <c r="A120" s="145" t="s">
        <v>219</v>
      </c>
      <c r="B120" s="6" t="s">
        <v>218</v>
      </c>
      <c r="C120" s="176">
        <v>179</v>
      </c>
      <c r="D120" s="138">
        <v>9.1469410342446231</v>
      </c>
      <c r="E120" s="149">
        <f t="shared" si="68"/>
        <v>1637.3024451297874</v>
      </c>
      <c r="F120" s="6" t="s">
        <v>218</v>
      </c>
      <c r="G120" s="178">
        <f>C120/2</f>
        <v>89.5</v>
      </c>
      <c r="H120" s="178">
        <f t="shared" ref="H120:H125" si="70">D120</f>
        <v>9.1469410342446231</v>
      </c>
      <c r="I120" s="151">
        <f t="shared" si="69"/>
        <v>818.65122256489371</v>
      </c>
    </row>
    <row r="121" spans="1:9" ht="48.75" customHeight="1" x14ac:dyDescent="0.25">
      <c r="A121" s="145" t="s">
        <v>393</v>
      </c>
      <c r="B121" s="6" t="s">
        <v>218</v>
      </c>
      <c r="C121" s="176">
        <f>1*303*12</f>
        <v>3636</v>
      </c>
      <c r="D121" s="138">
        <v>4.5734705171223116</v>
      </c>
      <c r="E121" s="149">
        <f t="shared" si="68"/>
        <v>16629.138800256726</v>
      </c>
      <c r="F121" s="6" t="s">
        <v>218</v>
      </c>
      <c r="G121" s="178">
        <f>C121/2</f>
        <v>1818</v>
      </c>
      <c r="H121" s="178">
        <f t="shared" si="70"/>
        <v>4.5734705171223116</v>
      </c>
      <c r="I121" s="151">
        <f t="shared" si="69"/>
        <v>8314.5694001283628</v>
      </c>
    </row>
    <row r="122" spans="1:9" ht="26.25" customHeight="1" x14ac:dyDescent="0.25">
      <c r="A122" s="145" t="s">
        <v>225</v>
      </c>
      <c r="B122" s="6" t="s">
        <v>224</v>
      </c>
      <c r="C122" s="176">
        <v>1680</v>
      </c>
      <c r="D122" s="138">
        <v>4.8457009050462583</v>
      </c>
      <c r="E122" s="149">
        <f t="shared" si="68"/>
        <v>8140.7775204777136</v>
      </c>
      <c r="F122" s="6" t="s">
        <v>224</v>
      </c>
      <c r="G122" s="178">
        <f>C122/2</f>
        <v>840</v>
      </c>
      <c r="H122" s="178">
        <f t="shared" si="70"/>
        <v>4.8457009050462583</v>
      </c>
      <c r="I122" s="151">
        <f t="shared" si="69"/>
        <v>4070.3887602388568</v>
      </c>
    </row>
    <row r="123" spans="1:9" ht="37.5" customHeight="1" x14ac:dyDescent="0.25">
      <c r="A123" s="145" t="s">
        <v>227</v>
      </c>
      <c r="B123" s="6" t="s">
        <v>226</v>
      </c>
      <c r="C123" s="176">
        <f>24</f>
        <v>24</v>
      </c>
      <c r="D123" s="138">
        <v>33.030416666666667</v>
      </c>
      <c r="E123" s="149">
        <f t="shared" si="68"/>
        <v>792.73</v>
      </c>
      <c r="F123" s="6" t="s">
        <v>226</v>
      </c>
      <c r="G123" s="178">
        <f>C123/2</f>
        <v>12</v>
      </c>
      <c r="H123" s="178">
        <f t="shared" si="70"/>
        <v>33.030416666666667</v>
      </c>
      <c r="I123" s="151">
        <f t="shared" si="69"/>
        <v>396.36500000000001</v>
      </c>
    </row>
    <row r="124" spans="1:9" ht="37.5" customHeight="1" x14ac:dyDescent="0.25">
      <c r="A124" s="145" t="s">
        <v>263</v>
      </c>
      <c r="B124" s="6" t="s">
        <v>238</v>
      </c>
      <c r="C124" s="176">
        <f>1*6</f>
        <v>6</v>
      </c>
      <c r="D124" s="138">
        <v>1361.877887320866</v>
      </c>
      <c r="E124" s="149">
        <f t="shared" si="68"/>
        <v>8171.2673239251963</v>
      </c>
      <c r="F124" s="6" t="s">
        <v>238</v>
      </c>
      <c r="G124" s="178">
        <f>C124</f>
        <v>6</v>
      </c>
      <c r="H124" s="178">
        <f t="shared" si="70"/>
        <v>1361.877887320866</v>
      </c>
      <c r="I124" s="151">
        <f t="shared" si="69"/>
        <v>8171.2673239251963</v>
      </c>
    </row>
    <row r="125" spans="1:9" ht="24.75" customHeight="1" x14ac:dyDescent="0.25">
      <c r="A125" s="145" t="s">
        <v>231</v>
      </c>
      <c r="B125" s="6" t="s">
        <v>239</v>
      </c>
      <c r="C125" s="176">
        <f>1*1*6</f>
        <v>6</v>
      </c>
      <c r="D125" s="138">
        <v>411.61234654100804</v>
      </c>
      <c r="E125" s="149">
        <f t="shared" si="68"/>
        <v>2469.6740792460482</v>
      </c>
      <c r="F125" s="6" t="s">
        <v>239</v>
      </c>
      <c r="G125" s="178">
        <f>C125/2</f>
        <v>3</v>
      </c>
      <c r="H125" s="178">
        <f t="shared" si="70"/>
        <v>411.61234654100804</v>
      </c>
      <c r="I125" s="151">
        <f t="shared" si="69"/>
        <v>1234.8370396230241</v>
      </c>
    </row>
    <row r="126" spans="1:9" ht="24.75" customHeight="1" x14ac:dyDescent="0.25">
      <c r="A126" s="145" t="s">
        <v>232</v>
      </c>
      <c r="B126" s="6" t="s">
        <v>241</v>
      </c>
      <c r="C126" s="176">
        <f>48</f>
        <v>48</v>
      </c>
      <c r="D126" s="138">
        <v>53.357156033093638</v>
      </c>
      <c r="E126" s="149">
        <f t="shared" si="68"/>
        <v>2561.1434895884945</v>
      </c>
      <c r="F126" s="6" t="s">
        <v>241</v>
      </c>
      <c r="G126" s="178">
        <f>C126/2</f>
        <v>24</v>
      </c>
      <c r="H126" s="178">
        <f t="shared" ref="H126:H130" si="71">D126</f>
        <v>53.357156033093638</v>
      </c>
      <c r="I126" s="151">
        <f t="shared" si="69"/>
        <v>1280.5717447942473</v>
      </c>
    </row>
    <row r="127" spans="1:9" ht="24.75" customHeight="1" x14ac:dyDescent="0.25">
      <c r="A127" s="145" t="s">
        <v>233</v>
      </c>
      <c r="B127" s="6" t="s">
        <v>243</v>
      </c>
      <c r="C127" s="176">
        <f>2</f>
        <v>2</v>
      </c>
      <c r="D127" s="138">
        <v>6723.001660169798</v>
      </c>
      <c r="E127" s="149">
        <f t="shared" si="68"/>
        <v>13446.003320339596</v>
      </c>
      <c r="F127" s="6" t="s">
        <v>243</v>
      </c>
      <c r="G127" s="178">
        <f>C127/2</f>
        <v>1</v>
      </c>
      <c r="H127" s="178">
        <f t="shared" si="71"/>
        <v>6723.001660169798</v>
      </c>
      <c r="I127" s="151">
        <f t="shared" si="69"/>
        <v>6723.001660169798</v>
      </c>
    </row>
    <row r="128" spans="1:9" ht="24.75" customHeight="1" x14ac:dyDescent="0.25">
      <c r="A128" s="145" t="s">
        <v>234</v>
      </c>
      <c r="B128" s="6" t="s">
        <v>245</v>
      </c>
      <c r="C128" s="176">
        <f>1*2*2</f>
        <v>4</v>
      </c>
      <c r="D128" s="178">
        <v>2216.2275880888533</v>
      </c>
      <c r="E128" s="149">
        <f t="shared" si="68"/>
        <v>8864.9103523554131</v>
      </c>
      <c r="F128" s="6" t="s">
        <v>245</v>
      </c>
      <c r="G128" s="178">
        <f>C128/2</f>
        <v>2</v>
      </c>
      <c r="H128" s="178">
        <f t="shared" si="71"/>
        <v>2216.2275880888533</v>
      </c>
      <c r="I128" s="151">
        <f t="shared" si="69"/>
        <v>4432.4551761777066</v>
      </c>
    </row>
    <row r="129" spans="1:10" ht="24.75" customHeight="1" x14ac:dyDescent="0.25">
      <c r="A129" s="145" t="s">
        <v>235</v>
      </c>
      <c r="B129" s="6" t="s">
        <v>247</v>
      </c>
      <c r="C129" s="176">
        <f>121</f>
        <v>121</v>
      </c>
      <c r="D129" s="178">
        <v>219.50477881682352</v>
      </c>
      <c r="E129" s="149">
        <f t="shared" si="68"/>
        <v>26560.078236835645</v>
      </c>
      <c r="F129" s="6" t="s">
        <v>247</v>
      </c>
      <c r="G129" s="178">
        <f>C129/2</f>
        <v>60.5</v>
      </c>
      <c r="H129" s="178">
        <f t="shared" si="71"/>
        <v>219.50477881682352</v>
      </c>
      <c r="I129" s="151">
        <f t="shared" si="69"/>
        <v>13280.039118417822</v>
      </c>
    </row>
    <row r="130" spans="1:10" ht="24.75" customHeight="1" x14ac:dyDescent="0.25">
      <c r="A130" s="145" t="s">
        <v>236</v>
      </c>
      <c r="B130" s="6" t="s">
        <v>249</v>
      </c>
      <c r="C130" s="176">
        <f>1</f>
        <v>1</v>
      </c>
      <c r="D130" s="178">
        <v>4096.3050931692169</v>
      </c>
      <c r="E130" s="149">
        <f t="shared" ref="E130:E133" si="72">C130*D130</f>
        <v>4096.3050931692169</v>
      </c>
      <c r="F130" s="6" t="s">
        <v>249</v>
      </c>
      <c r="G130" s="178">
        <f>C130</f>
        <v>1</v>
      </c>
      <c r="H130" s="178">
        <f t="shared" si="71"/>
        <v>4096.3050931692169</v>
      </c>
      <c r="I130" s="151">
        <f t="shared" si="69"/>
        <v>4096.3050931692169</v>
      </c>
    </row>
    <row r="131" spans="1:10" ht="24.75" customHeight="1" x14ac:dyDescent="0.25">
      <c r="A131" s="145" t="s">
        <v>237</v>
      </c>
      <c r="B131" s="6" t="s">
        <v>251</v>
      </c>
      <c r="C131" s="176">
        <f>3*2</f>
        <v>6</v>
      </c>
      <c r="D131" s="178">
        <v>60.98</v>
      </c>
      <c r="E131" s="149">
        <f t="shared" si="72"/>
        <v>365.88</v>
      </c>
      <c r="F131" s="6" t="s">
        <v>251</v>
      </c>
      <c r="G131" s="178">
        <f>C131/2</f>
        <v>3</v>
      </c>
      <c r="H131" s="178">
        <f>D131</f>
        <v>60.98</v>
      </c>
      <c r="I131" s="151">
        <f t="shared" si="69"/>
        <v>182.94</v>
      </c>
    </row>
    <row r="132" spans="1:10" ht="15" customHeight="1" x14ac:dyDescent="0.25">
      <c r="A132" s="145" t="s">
        <v>254</v>
      </c>
      <c r="B132" s="6" t="s">
        <v>218</v>
      </c>
      <c r="C132" s="176">
        <f>303*1</f>
        <v>303</v>
      </c>
      <c r="D132" s="178">
        <v>7.6224508618705187</v>
      </c>
      <c r="E132" s="149">
        <f t="shared" si="72"/>
        <v>2309.6026111467672</v>
      </c>
      <c r="F132" s="6" t="s">
        <v>218</v>
      </c>
      <c r="G132" s="178">
        <f>C132/2</f>
        <v>151.5</v>
      </c>
      <c r="H132" s="178">
        <f>D132</f>
        <v>7.6224508618705187</v>
      </c>
      <c r="I132" s="151">
        <f t="shared" si="69"/>
        <v>1154.8013055733836</v>
      </c>
    </row>
    <row r="133" spans="1:10" ht="36.75" customHeight="1" x14ac:dyDescent="0.25">
      <c r="A133" s="145" t="s">
        <v>255</v>
      </c>
      <c r="B133" s="6" t="s">
        <v>218</v>
      </c>
      <c r="C133" s="176">
        <v>303</v>
      </c>
      <c r="D133" s="178">
        <v>12.19592137899283</v>
      </c>
      <c r="E133" s="149">
        <f t="shared" si="72"/>
        <v>3695.3641778348274</v>
      </c>
      <c r="F133" s="6" t="s">
        <v>218</v>
      </c>
      <c r="G133" s="178">
        <f>C133/2</f>
        <v>151.5</v>
      </c>
      <c r="H133" s="178">
        <f>D133</f>
        <v>12.19592137899283</v>
      </c>
      <c r="I133" s="151">
        <f t="shared" si="69"/>
        <v>1847.6820889174137</v>
      </c>
    </row>
    <row r="134" spans="1:10" ht="29.25" customHeight="1" x14ac:dyDescent="0.25">
      <c r="A134" s="145" t="s">
        <v>256</v>
      </c>
      <c r="B134" s="6" t="s">
        <v>271</v>
      </c>
      <c r="C134" s="176">
        <f>3*6*2</f>
        <v>36</v>
      </c>
      <c r="D134" s="178">
        <v>363.33682441582806</v>
      </c>
      <c r="E134" s="149">
        <f t="shared" ref="E134:E137" si="73">C134*D134</f>
        <v>13080.125678969811</v>
      </c>
      <c r="F134" s="6" t="s">
        <v>271</v>
      </c>
      <c r="G134" s="178">
        <f>C134/2</f>
        <v>18</v>
      </c>
      <c r="H134" s="178">
        <f>D134</f>
        <v>363.33682441582806</v>
      </c>
      <c r="I134" s="151">
        <f t="shared" si="69"/>
        <v>6540.0628394849055</v>
      </c>
    </row>
    <row r="135" spans="1:10" ht="36.75" customHeight="1" x14ac:dyDescent="0.25">
      <c r="A135" s="55" t="s">
        <v>321</v>
      </c>
      <c r="B135" s="6"/>
      <c r="C135" s="176"/>
      <c r="D135" s="178"/>
      <c r="E135" s="149"/>
      <c r="F135" s="6"/>
      <c r="G135" s="3"/>
      <c r="H135" s="3"/>
      <c r="I135" s="33"/>
    </row>
    <row r="136" spans="1:10" ht="36.75" customHeight="1" x14ac:dyDescent="0.25">
      <c r="A136" s="145" t="s">
        <v>322</v>
      </c>
      <c r="B136" s="6" t="s">
        <v>196</v>
      </c>
      <c r="C136" s="176">
        <f>1</f>
        <v>1</v>
      </c>
      <c r="D136" s="178">
        <v>2540.5628722614438</v>
      </c>
      <c r="E136" s="149">
        <f t="shared" si="73"/>
        <v>2540.5628722614438</v>
      </c>
      <c r="F136" s="6" t="s">
        <v>196</v>
      </c>
      <c r="G136" s="178">
        <f>C136</f>
        <v>1</v>
      </c>
      <c r="H136" s="178">
        <f>D136</f>
        <v>2540.5628722614438</v>
      </c>
      <c r="I136" s="151">
        <f t="shared" ref="I136:I137" si="74">G136*H136</f>
        <v>2540.5628722614438</v>
      </c>
    </row>
    <row r="137" spans="1:10" ht="36.75" customHeight="1" x14ac:dyDescent="0.25">
      <c r="A137" s="145" t="s">
        <v>323</v>
      </c>
      <c r="B137" s="6" t="s">
        <v>196</v>
      </c>
      <c r="C137" s="176">
        <f>1</f>
        <v>1</v>
      </c>
      <c r="D137" s="178">
        <v>1913.9732110489276</v>
      </c>
      <c r="E137" s="149">
        <f t="shared" si="73"/>
        <v>1913.9732110489276</v>
      </c>
      <c r="F137" s="6" t="s">
        <v>196</v>
      </c>
      <c r="G137" s="178">
        <f>C137</f>
        <v>1</v>
      </c>
      <c r="H137" s="178">
        <f>D137</f>
        <v>1913.9732110489276</v>
      </c>
      <c r="I137" s="151">
        <f t="shared" si="74"/>
        <v>1913.9732110489276</v>
      </c>
    </row>
    <row r="138" spans="1:10" ht="36.75" customHeight="1" x14ac:dyDescent="0.25">
      <c r="A138" s="55" t="s">
        <v>324</v>
      </c>
      <c r="B138" s="6"/>
      <c r="C138" s="176"/>
      <c r="D138" s="178"/>
      <c r="E138" s="149"/>
      <c r="F138" s="6"/>
      <c r="G138" s="3"/>
      <c r="H138" s="3"/>
      <c r="I138" s="33"/>
    </row>
    <row r="139" spans="1:10" ht="36.75" customHeight="1" x14ac:dyDescent="0.25">
      <c r="A139" s="145" t="s">
        <v>325</v>
      </c>
      <c r="B139" s="6" t="s">
        <v>320</v>
      </c>
      <c r="C139" s="176">
        <f>1</f>
        <v>1</v>
      </c>
      <c r="D139" s="178">
        <f>403.99</f>
        <v>403.99</v>
      </c>
      <c r="E139" s="149">
        <f t="shared" ref="E139:E142" si="75">C139*D139</f>
        <v>403.99</v>
      </c>
      <c r="F139" s="6" t="s">
        <v>320</v>
      </c>
      <c r="G139" s="178">
        <f>C139</f>
        <v>1</v>
      </c>
      <c r="H139" s="178">
        <f>D139</f>
        <v>403.99</v>
      </c>
      <c r="I139" s="151">
        <f t="shared" ref="I139:I142" si="76">G139*H139</f>
        <v>403.99</v>
      </c>
    </row>
    <row r="140" spans="1:10" ht="36.75" customHeight="1" x14ac:dyDescent="0.25">
      <c r="A140" s="145" t="s">
        <v>326</v>
      </c>
      <c r="B140" s="6" t="s">
        <v>320</v>
      </c>
      <c r="C140" s="176">
        <f>30</f>
        <v>30</v>
      </c>
      <c r="D140" s="178">
        <v>106.71431206618725</v>
      </c>
      <c r="E140" s="149">
        <f t="shared" si="75"/>
        <v>3201.4293619856176</v>
      </c>
      <c r="F140" s="6" t="s">
        <v>320</v>
      </c>
      <c r="G140" s="178">
        <f t="shared" ref="G140:G142" si="77">C140</f>
        <v>30</v>
      </c>
      <c r="H140" s="178">
        <f t="shared" ref="H140:H142" si="78">D140</f>
        <v>106.71431206618725</v>
      </c>
      <c r="I140" s="151">
        <f t="shared" si="76"/>
        <v>3201.4293619856176</v>
      </c>
    </row>
    <row r="141" spans="1:10" ht="36.75" customHeight="1" x14ac:dyDescent="0.25">
      <c r="A141" s="145" t="s">
        <v>327</v>
      </c>
      <c r="B141" s="6" t="s">
        <v>320</v>
      </c>
      <c r="C141" s="176">
        <f>11</f>
        <v>11</v>
      </c>
      <c r="D141" s="178">
        <v>4.5734705171223116</v>
      </c>
      <c r="E141" s="149">
        <f t="shared" si="75"/>
        <v>50.308175688345429</v>
      </c>
      <c r="F141" s="6" t="s">
        <v>320</v>
      </c>
      <c r="G141" s="178">
        <f t="shared" si="77"/>
        <v>11</v>
      </c>
      <c r="H141" s="178">
        <f t="shared" si="78"/>
        <v>4.5734705171223116</v>
      </c>
      <c r="I141" s="151">
        <f t="shared" si="76"/>
        <v>50.308175688345429</v>
      </c>
    </row>
    <row r="142" spans="1:10" ht="36.75" customHeight="1" x14ac:dyDescent="0.25">
      <c r="A142" s="145" t="s">
        <v>328</v>
      </c>
      <c r="B142" s="6" t="s">
        <v>320</v>
      </c>
      <c r="C142" s="176">
        <f>48</f>
        <v>48</v>
      </c>
      <c r="D142" s="178">
        <v>10.671431206618726</v>
      </c>
      <c r="E142" s="149">
        <f t="shared" si="75"/>
        <v>512.22869791769881</v>
      </c>
      <c r="F142" s="6" t="s">
        <v>320</v>
      </c>
      <c r="G142" s="178">
        <f t="shared" si="77"/>
        <v>48</v>
      </c>
      <c r="H142" s="178">
        <f t="shared" si="78"/>
        <v>10.671431206618726</v>
      </c>
      <c r="I142" s="151">
        <f t="shared" si="76"/>
        <v>512.22869791769881</v>
      </c>
    </row>
    <row r="143" spans="1:10" ht="15" customHeight="1" thickBot="1" x14ac:dyDescent="0.3">
      <c r="A143" s="24" t="s">
        <v>27</v>
      </c>
      <c r="B143" s="44"/>
      <c r="C143" s="37"/>
      <c r="D143" s="39"/>
      <c r="E143" s="146">
        <f>SUM(E116:E142)</f>
        <v>154430.32359407705</v>
      </c>
      <c r="F143" s="36"/>
      <c r="G143" s="37"/>
      <c r="H143" s="39"/>
      <c r="I143" s="146">
        <f>SUM(I116:I142)</f>
        <v>104153.95823798669</v>
      </c>
    </row>
    <row r="144" spans="1:10" ht="25.5" customHeight="1" thickBot="1" x14ac:dyDescent="0.3">
      <c r="A144" s="57" t="s">
        <v>28</v>
      </c>
      <c r="B144" s="17"/>
      <c r="C144" s="18"/>
      <c r="D144" s="19"/>
      <c r="E144" s="152">
        <f>E29+E33+E55+E88+E115+E143</f>
        <v>311526.17079895479</v>
      </c>
      <c r="F144" s="17"/>
      <c r="G144" s="18"/>
      <c r="H144" s="19"/>
      <c r="I144" s="152">
        <f>I29+I33+I55+I88+I115+I143</f>
        <v>201940.31483198598</v>
      </c>
      <c r="J144" s="181"/>
    </row>
    <row r="145" spans="1:12" ht="30" customHeight="1" thickBot="1" x14ac:dyDescent="0.3">
      <c r="A145" s="123" t="s">
        <v>29</v>
      </c>
      <c r="B145" s="45"/>
      <c r="C145" s="46"/>
      <c r="D145" s="47"/>
      <c r="E145" s="153">
        <f>E144*7%</f>
        <v>21806.831955926838</v>
      </c>
      <c r="F145" s="50"/>
      <c r="G145" s="46"/>
      <c r="H145" s="47"/>
      <c r="I145" s="27"/>
    </row>
    <row r="146" spans="1:12" ht="32.25" customHeight="1" thickBot="1" x14ac:dyDescent="0.3">
      <c r="A146" s="57" t="s">
        <v>30</v>
      </c>
      <c r="B146" s="14"/>
      <c r="C146" s="15"/>
      <c r="D146" s="16"/>
      <c r="E146" s="154">
        <f>E144+E145</f>
        <v>333333.00275488163</v>
      </c>
      <c r="F146" s="14"/>
      <c r="G146" s="15"/>
      <c r="H146" s="16"/>
      <c r="I146" s="154">
        <f>I144+I145</f>
        <v>201940.31483198598</v>
      </c>
      <c r="J146" s="180">
        <f>J144*655.957</f>
        <v>0</v>
      </c>
    </row>
    <row r="147" spans="1:12" ht="30" customHeight="1" thickBot="1" x14ac:dyDescent="0.3">
      <c r="A147" s="123" t="s">
        <v>31</v>
      </c>
      <c r="B147" s="45"/>
      <c r="C147" s="46"/>
      <c r="D147" s="47"/>
      <c r="E147" s="56"/>
      <c r="F147" s="50"/>
      <c r="G147" s="46"/>
      <c r="H147" s="47"/>
      <c r="I147" s="27"/>
    </row>
    <row r="148" spans="1:12" ht="16.5" customHeight="1" thickBot="1" x14ac:dyDescent="0.3">
      <c r="A148" s="57" t="s">
        <v>32</v>
      </c>
      <c r="B148" s="14"/>
      <c r="C148" s="15"/>
      <c r="D148" s="16"/>
      <c r="E148" s="155">
        <f>E146</f>
        <v>333333.00275488163</v>
      </c>
      <c r="F148" s="15"/>
      <c r="G148" s="15"/>
      <c r="H148" s="16"/>
      <c r="I148" s="155">
        <f>I146</f>
        <v>201940.31483198598</v>
      </c>
    </row>
    <row r="149" spans="1:12" ht="31.8" thickBot="1" x14ac:dyDescent="0.3">
      <c r="A149" s="179" t="s">
        <v>33</v>
      </c>
      <c r="B149" s="65"/>
      <c r="C149" s="66"/>
      <c r="D149" s="67"/>
      <c r="E149" s="67"/>
      <c r="F149" s="68"/>
      <c r="G149" s="66"/>
      <c r="H149" s="67"/>
      <c r="I149" s="69"/>
    </row>
    <row r="150" spans="1:12" ht="13.8" thickBot="1" x14ac:dyDescent="0.3">
      <c r="A150" s="182"/>
      <c r="B150" s="68"/>
      <c r="C150" s="66"/>
      <c r="D150" s="67"/>
      <c r="E150" s="66"/>
      <c r="F150" s="68"/>
      <c r="G150" s="66"/>
      <c r="H150" s="67"/>
      <c r="I150" s="183"/>
      <c r="J150" s="201"/>
      <c r="K150" s="184"/>
      <c r="L150" s="202"/>
    </row>
    <row r="151" spans="1:12" ht="16.5" customHeight="1" thickBot="1" x14ac:dyDescent="0.3">
      <c r="A151" s="57" t="s">
        <v>34</v>
      </c>
      <c r="B151" s="14"/>
      <c r="C151" s="15"/>
      <c r="D151" s="16"/>
      <c r="E151" s="155">
        <f>E148</f>
        <v>333333.00275488163</v>
      </c>
      <c r="F151" s="15"/>
      <c r="G151" s="15"/>
      <c r="H151" s="16"/>
      <c r="I151" s="155">
        <f>I148</f>
        <v>201940.31483198598</v>
      </c>
      <c r="J151" s="201"/>
      <c r="K151" s="184"/>
      <c r="L151" s="202"/>
    </row>
    <row r="152" spans="1:12" x14ac:dyDescent="0.25">
      <c r="J152" s="201"/>
      <c r="K152" s="184"/>
      <c r="L152" s="201"/>
    </row>
    <row r="153" spans="1:12" ht="66.75" customHeight="1" x14ac:dyDescent="0.25">
      <c r="A153" s="215" t="s">
        <v>35</v>
      </c>
      <c r="B153" s="215"/>
      <c r="C153" s="215"/>
      <c r="D153" s="215"/>
      <c r="E153" s="215"/>
      <c r="F153" s="215"/>
      <c r="G153" s="215"/>
      <c r="H153" s="215"/>
      <c r="I153" s="215"/>
    </row>
    <row r="154" spans="1:12" ht="18" customHeight="1" x14ac:dyDescent="0.25">
      <c r="A154" s="210" t="s">
        <v>36</v>
      </c>
      <c r="B154" s="210"/>
      <c r="C154" s="210"/>
      <c r="D154" s="210"/>
      <c r="E154" s="210"/>
      <c r="F154" s="210"/>
      <c r="G154" s="210"/>
      <c r="H154" s="210"/>
      <c r="I154" s="210"/>
    </row>
    <row r="155" spans="1:12" ht="33.75" customHeight="1" x14ac:dyDescent="0.25">
      <c r="A155" s="210" t="s">
        <v>37</v>
      </c>
      <c r="B155" s="210"/>
      <c r="C155" s="210"/>
      <c r="D155" s="210"/>
      <c r="E155" s="210"/>
      <c r="F155" s="210"/>
      <c r="G155" s="210"/>
      <c r="H155" s="210"/>
      <c r="I155" s="210"/>
    </row>
    <row r="156" spans="1:12" ht="23.25" customHeight="1" x14ac:dyDescent="0.25">
      <c r="A156" s="210" t="s">
        <v>38</v>
      </c>
      <c r="B156" s="210"/>
      <c r="C156" s="210"/>
      <c r="D156" s="210"/>
      <c r="E156" s="210"/>
      <c r="F156" s="210"/>
      <c r="G156" s="210"/>
      <c r="H156" s="210"/>
      <c r="I156" s="210"/>
    </row>
    <row r="157" spans="1:12" ht="90" customHeight="1" x14ac:dyDescent="0.25">
      <c r="A157" s="209" t="s">
        <v>39</v>
      </c>
      <c r="B157" s="209"/>
      <c r="C157" s="209"/>
      <c r="D157" s="209"/>
      <c r="E157" s="209"/>
      <c r="F157" s="209"/>
      <c r="G157" s="209"/>
      <c r="H157" s="209"/>
      <c r="I157" s="209"/>
    </row>
    <row r="158" spans="1:12" ht="36.75" customHeight="1" x14ac:dyDescent="0.25">
      <c r="A158" s="210" t="s">
        <v>40</v>
      </c>
      <c r="B158" s="210"/>
      <c r="C158" s="210"/>
      <c r="D158" s="210"/>
      <c r="E158" s="210"/>
      <c r="F158" s="210"/>
      <c r="G158" s="210"/>
      <c r="H158" s="210"/>
      <c r="I158" s="210"/>
    </row>
    <row r="159" spans="1:12" x14ac:dyDescent="0.25">
      <c r="A159" s="210" t="s">
        <v>41</v>
      </c>
      <c r="B159" s="210"/>
      <c r="C159" s="210"/>
      <c r="D159" s="210"/>
      <c r="E159" s="210"/>
      <c r="F159" s="210"/>
      <c r="G159" s="210"/>
      <c r="H159" s="210"/>
      <c r="I159" s="210"/>
    </row>
    <row r="160" spans="1:12" ht="18" customHeight="1" x14ac:dyDescent="0.25">
      <c r="A160" s="210" t="s">
        <v>42</v>
      </c>
      <c r="B160" s="210"/>
      <c r="C160" s="210"/>
      <c r="D160" s="210"/>
      <c r="E160" s="210"/>
      <c r="F160" s="210"/>
      <c r="G160" s="210"/>
      <c r="H160" s="210"/>
      <c r="I160" s="210"/>
    </row>
    <row r="161" spans="1:9" x14ac:dyDescent="0.25">
      <c r="A161" s="211" t="s">
        <v>43</v>
      </c>
      <c r="B161" s="211"/>
      <c r="C161" s="211"/>
      <c r="D161" s="211"/>
      <c r="E161" s="211"/>
      <c r="F161" s="211"/>
      <c r="G161" s="211"/>
      <c r="H161" s="211"/>
      <c r="I161" s="211"/>
    </row>
    <row r="162" spans="1:9" ht="20.25" customHeight="1" x14ac:dyDescent="0.25">
      <c r="A162" s="211" t="s">
        <v>44</v>
      </c>
      <c r="B162" s="211"/>
      <c r="C162" s="211"/>
      <c r="D162" s="211"/>
      <c r="E162" s="211"/>
      <c r="F162" s="211"/>
      <c r="G162" s="211"/>
      <c r="H162" s="211"/>
      <c r="I162" s="211"/>
    </row>
    <row r="163" spans="1:9" ht="57" customHeight="1" x14ac:dyDescent="0.25">
      <c r="A163" s="209" t="s">
        <v>45</v>
      </c>
      <c r="B163" s="209"/>
      <c r="C163" s="209"/>
      <c r="D163" s="209"/>
      <c r="E163" s="209"/>
      <c r="F163" s="209"/>
      <c r="G163" s="209"/>
      <c r="H163" s="209"/>
      <c r="I163" s="209"/>
    </row>
    <row r="164" spans="1:9" ht="39.75" customHeight="1" x14ac:dyDescent="0.25">
      <c r="A164" s="209" t="s">
        <v>390</v>
      </c>
      <c r="B164" s="209"/>
      <c r="C164" s="209"/>
      <c r="D164" s="209"/>
      <c r="E164" s="209"/>
      <c r="F164" s="209"/>
      <c r="G164" s="209"/>
      <c r="H164" s="209"/>
      <c r="I164" s="209"/>
    </row>
    <row r="165" spans="1:9" ht="48" customHeight="1" x14ac:dyDescent="0.25">
      <c r="A165" s="209" t="s">
        <v>46</v>
      </c>
      <c r="B165" s="209"/>
      <c r="C165" s="209"/>
      <c r="D165" s="209"/>
      <c r="E165" s="209"/>
      <c r="F165" s="209"/>
      <c r="G165" s="209"/>
      <c r="H165" s="209"/>
      <c r="I165" s="209"/>
    </row>
    <row r="166" spans="1:9" ht="67.5" customHeight="1" x14ac:dyDescent="0.25">
      <c r="A166" s="209" t="s">
        <v>47</v>
      </c>
      <c r="B166" s="209"/>
      <c r="C166" s="209"/>
      <c r="D166" s="209"/>
      <c r="E166" s="209"/>
      <c r="F166" s="209"/>
      <c r="G166" s="209"/>
      <c r="H166" s="209"/>
      <c r="I166" s="209"/>
    </row>
    <row r="167" spans="1:9" ht="25.5" customHeight="1" x14ac:dyDescent="0.25">
      <c r="A167" s="208" t="s">
        <v>48</v>
      </c>
      <c r="B167" s="208"/>
      <c r="C167" s="208"/>
      <c r="D167" s="208"/>
      <c r="E167" s="208"/>
      <c r="F167" s="208"/>
      <c r="G167" s="208"/>
      <c r="H167" s="208"/>
      <c r="I167" s="208"/>
    </row>
    <row r="177" spans="2:16" x14ac:dyDescent="0.25">
      <c r="B177" s="22"/>
      <c r="C177" s="22"/>
      <c r="D177" s="22"/>
      <c r="E177" s="22"/>
      <c r="F177" s="22"/>
      <c r="G177" s="22"/>
      <c r="H177" s="22"/>
      <c r="I177" s="22"/>
      <c r="J177" s="22"/>
      <c r="K177" s="22"/>
      <c r="L177" s="22"/>
      <c r="M177" s="22"/>
      <c r="N177" s="22"/>
      <c r="O177" s="22"/>
      <c r="P177" s="22"/>
    </row>
    <row r="178" spans="2:16" x14ac:dyDescent="0.25">
      <c r="B178" s="22"/>
      <c r="C178" s="22"/>
      <c r="D178" s="22"/>
      <c r="E178" s="22"/>
      <c r="F178" s="22"/>
      <c r="G178" s="22"/>
      <c r="H178" s="22"/>
      <c r="I178" s="22"/>
      <c r="J178" s="22"/>
      <c r="K178" s="22"/>
      <c r="L178" s="22"/>
      <c r="M178" s="22"/>
      <c r="N178" s="22"/>
      <c r="O178" s="22"/>
      <c r="P178" s="22"/>
    </row>
    <row r="179" spans="2:16" x14ac:dyDescent="0.25">
      <c r="B179" s="22"/>
      <c r="C179" s="22"/>
      <c r="D179" s="22"/>
      <c r="E179" s="22"/>
      <c r="F179" s="22"/>
      <c r="G179" s="22"/>
      <c r="H179" s="22"/>
      <c r="I179" s="22"/>
      <c r="J179" s="22"/>
      <c r="K179" s="22"/>
      <c r="L179" s="22"/>
      <c r="M179" s="22"/>
      <c r="N179" s="22"/>
      <c r="O179" s="22"/>
      <c r="P179" s="22"/>
    </row>
    <row r="180" spans="2:16" x14ac:dyDescent="0.25">
      <c r="B180" s="22"/>
      <c r="C180" s="22"/>
      <c r="D180" s="22"/>
      <c r="E180" s="22"/>
      <c r="F180" s="22"/>
      <c r="G180" s="22"/>
      <c r="H180" s="22"/>
      <c r="I180" s="22"/>
      <c r="J180" s="22"/>
      <c r="K180" s="22"/>
      <c r="L180" s="22"/>
      <c r="M180" s="22"/>
      <c r="N180" s="22"/>
      <c r="O180" s="22"/>
      <c r="P180" s="22"/>
    </row>
    <row r="181" spans="2:16" x14ac:dyDescent="0.25">
      <c r="B181" s="22"/>
      <c r="C181" s="22"/>
      <c r="D181" s="22"/>
      <c r="E181" s="22"/>
      <c r="F181" s="22"/>
      <c r="G181" s="22"/>
      <c r="H181" s="22"/>
      <c r="I181" s="22"/>
      <c r="J181" s="22"/>
      <c r="K181" s="22"/>
      <c r="L181" s="22"/>
      <c r="M181" s="22"/>
      <c r="N181" s="22"/>
      <c r="O181" s="22"/>
      <c r="P181" s="22"/>
    </row>
    <row r="182" spans="2:16" x14ac:dyDescent="0.25">
      <c r="B182" s="22"/>
      <c r="C182" s="22"/>
      <c r="D182" s="22"/>
      <c r="E182" s="22"/>
      <c r="F182" s="22"/>
      <c r="G182" s="22"/>
      <c r="H182" s="22"/>
      <c r="I182" s="22"/>
      <c r="J182" s="22"/>
      <c r="K182" s="22"/>
      <c r="L182" s="22"/>
      <c r="M182" s="22"/>
      <c r="N182" s="22"/>
      <c r="O182" s="22"/>
      <c r="P182" s="22"/>
    </row>
    <row r="183" spans="2:16" x14ac:dyDescent="0.25">
      <c r="B183" s="22"/>
      <c r="C183" s="22"/>
      <c r="D183" s="22"/>
      <c r="E183" s="22"/>
      <c r="F183" s="22"/>
      <c r="G183" s="22"/>
      <c r="H183" s="22"/>
      <c r="I183" s="22"/>
      <c r="J183" s="22"/>
      <c r="K183" s="22"/>
      <c r="L183" s="22"/>
      <c r="M183" s="22"/>
      <c r="N183" s="22"/>
      <c r="O183" s="22"/>
      <c r="P183" s="22"/>
    </row>
    <row r="184" spans="2:16" x14ac:dyDescent="0.25">
      <c r="B184" s="22"/>
      <c r="C184" s="22"/>
      <c r="D184" s="22"/>
      <c r="E184" s="22"/>
      <c r="F184" s="22"/>
      <c r="G184" s="22"/>
      <c r="H184" s="22"/>
      <c r="I184" s="22"/>
      <c r="J184" s="22"/>
      <c r="K184" s="22"/>
      <c r="L184" s="22"/>
      <c r="M184" s="22"/>
      <c r="N184" s="22"/>
      <c r="O184" s="22"/>
      <c r="P184" s="22"/>
    </row>
    <row r="185" spans="2:16" x14ac:dyDescent="0.25">
      <c r="B185" s="22"/>
      <c r="C185" s="22"/>
      <c r="D185" s="22"/>
      <c r="E185" s="22"/>
      <c r="F185" s="22"/>
      <c r="G185" s="22"/>
      <c r="H185" s="22"/>
      <c r="I185" s="22"/>
      <c r="J185" s="22"/>
      <c r="K185" s="22"/>
      <c r="L185" s="22"/>
      <c r="M185" s="22"/>
      <c r="N185" s="22"/>
      <c r="O185" s="22"/>
      <c r="P185" s="22"/>
    </row>
    <row r="186" spans="2:16" x14ac:dyDescent="0.25">
      <c r="B186" s="22"/>
      <c r="C186" s="22"/>
      <c r="D186" s="22"/>
      <c r="E186" s="22"/>
      <c r="F186" s="22"/>
      <c r="G186" s="22"/>
      <c r="H186" s="22"/>
      <c r="I186" s="22"/>
      <c r="J186" s="22"/>
      <c r="K186" s="22"/>
      <c r="L186" s="22"/>
      <c r="M186" s="22"/>
      <c r="N186" s="22"/>
      <c r="O186" s="22"/>
      <c r="P186" s="22"/>
    </row>
    <row r="187" spans="2:16" x14ac:dyDescent="0.25">
      <c r="B187" s="22"/>
      <c r="C187" s="22"/>
      <c r="D187" s="22"/>
      <c r="E187" s="22"/>
      <c r="F187" s="22"/>
      <c r="G187" s="22"/>
      <c r="H187" s="22"/>
      <c r="I187" s="22"/>
      <c r="J187" s="22"/>
      <c r="K187" s="22"/>
      <c r="L187" s="22"/>
      <c r="M187" s="22"/>
      <c r="N187" s="22"/>
      <c r="O187" s="22"/>
      <c r="P187" s="22"/>
    </row>
    <row r="188" spans="2:16" x14ac:dyDescent="0.25">
      <c r="B188" s="22"/>
      <c r="C188" s="22"/>
      <c r="D188" s="22"/>
      <c r="E188" s="22"/>
      <c r="F188" s="22"/>
      <c r="G188" s="22"/>
      <c r="H188" s="22"/>
      <c r="I188" s="22"/>
      <c r="J188" s="22"/>
      <c r="K188" s="22"/>
      <c r="L188" s="22"/>
      <c r="M188" s="22"/>
      <c r="N188" s="22"/>
      <c r="O188" s="22"/>
      <c r="P188" s="22"/>
    </row>
    <row r="189" spans="2:16" x14ac:dyDescent="0.25">
      <c r="B189" s="22"/>
      <c r="C189" s="22"/>
      <c r="D189" s="22"/>
      <c r="E189" s="22"/>
      <c r="F189" s="22"/>
      <c r="G189" s="22"/>
      <c r="H189" s="22"/>
      <c r="I189" s="22"/>
      <c r="J189" s="22"/>
      <c r="K189" s="22"/>
      <c r="L189" s="22"/>
      <c r="M189" s="22"/>
      <c r="N189" s="22"/>
      <c r="O189" s="22"/>
      <c r="P189" s="22"/>
    </row>
    <row r="190" spans="2:16" x14ac:dyDescent="0.25">
      <c r="B190" s="22"/>
      <c r="C190" s="22"/>
      <c r="D190" s="22"/>
      <c r="E190" s="22"/>
      <c r="F190" s="22"/>
      <c r="G190" s="22"/>
      <c r="H190" s="22"/>
      <c r="I190" s="22"/>
      <c r="J190" s="22"/>
      <c r="K190" s="22"/>
      <c r="L190" s="22"/>
      <c r="M190" s="22"/>
      <c r="N190" s="22"/>
      <c r="O190" s="22"/>
      <c r="P190" s="22"/>
    </row>
    <row r="191" spans="2:16" x14ac:dyDescent="0.25">
      <c r="B191" s="22"/>
      <c r="C191" s="22"/>
      <c r="D191" s="22"/>
      <c r="E191" s="22"/>
      <c r="F191" s="22"/>
      <c r="G191" s="22"/>
      <c r="H191" s="22"/>
      <c r="I191" s="22"/>
      <c r="J191" s="22"/>
      <c r="K191" s="22"/>
      <c r="L191" s="22"/>
      <c r="M191" s="22"/>
      <c r="N191" s="22"/>
      <c r="O191" s="22"/>
      <c r="P191" s="22"/>
    </row>
    <row r="192" spans="2:16" x14ac:dyDescent="0.25">
      <c r="B192" s="22"/>
      <c r="C192" s="22"/>
      <c r="D192" s="22"/>
      <c r="E192" s="22"/>
      <c r="F192" s="22"/>
      <c r="G192" s="22"/>
      <c r="H192" s="22"/>
      <c r="I192" s="22"/>
      <c r="J192" s="22"/>
      <c r="K192" s="22"/>
      <c r="L192" s="22"/>
      <c r="M192" s="22"/>
      <c r="N192" s="22"/>
      <c r="O192" s="22"/>
      <c r="P192" s="22"/>
    </row>
    <row r="193" spans="2:16" x14ac:dyDescent="0.25">
      <c r="B193" s="22"/>
      <c r="C193" s="22"/>
      <c r="D193" s="22"/>
      <c r="E193" s="22"/>
      <c r="F193" s="22"/>
      <c r="G193" s="22"/>
      <c r="H193" s="22"/>
      <c r="I193" s="22"/>
      <c r="J193" s="22"/>
      <c r="K193" s="22"/>
      <c r="L193" s="22"/>
      <c r="M193" s="22"/>
      <c r="N193" s="22"/>
      <c r="O193" s="22"/>
      <c r="P193" s="22"/>
    </row>
    <row r="194" spans="2:16" x14ac:dyDescent="0.25">
      <c r="B194" s="22"/>
      <c r="C194" s="22"/>
      <c r="D194" s="22"/>
      <c r="E194" s="22"/>
      <c r="F194" s="22"/>
      <c r="G194" s="22"/>
      <c r="H194" s="22"/>
      <c r="I194" s="22"/>
      <c r="J194" s="22"/>
      <c r="K194" s="22"/>
      <c r="L194" s="22"/>
      <c r="M194" s="22"/>
      <c r="N194" s="22"/>
      <c r="O194" s="22"/>
      <c r="P194" s="22"/>
    </row>
    <row r="195" spans="2:16" x14ac:dyDescent="0.25">
      <c r="B195" s="22"/>
      <c r="C195" s="22"/>
      <c r="D195" s="22"/>
      <c r="E195" s="22"/>
      <c r="F195" s="22"/>
      <c r="G195" s="22"/>
      <c r="H195" s="22"/>
      <c r="I195" s="22"/>
      <c r="J195" s="22"/>
      <c r="K195" s="22"/>
      <c r="L195" s="22"/>
      <c r="M195" s="22"/>
      <c r="N195" s="22"/>
      <c r="O195" s="22"/>
      <c r="P195" s="22"/>
    </row>
    <row r="196" spans="2:16" x14ac:dyDescent="0.25">
      <c r="B196" s="22"/>
      <c r="C196" s="22"/>
      <c r="D196" s="22"/>
      <c r="E196" s="22"/>
      <c r="F196" s="22"/>
      <c r="G196" s="22"/>
      <c r="H196" s="22"/>
      <c r="I196" s="22"/>
      <c r="J196" s="22"/>
      <c r="K196" s="22"/>
      <c r="L196" s="22"/>
      <c r="M196" s="22"/>
      <c r="N196" s="22"/>
      <c r="O196" s="22"/>
      <c r="P196" s="22"/>
    </row>
    <row r="197" spans="2:16" x14ac:dyDescent="0.25">
      <c r="B197" s="22"/>
      <c r="C197" s="22"/>
      <c r="D197" s="22"/>
      <c r="E197" s="22"/>
      <c r="F197" s="22"/>
      <c r="G197" s="22"/>
      <c r="H197" s="22"/>
      <c r="I197" s="22"/>
      <c r="J197" s="22"/>
      <c r="K197" s="22"/>
      <c r="L197" s="22"/>
      <c r="M197" s="22"/>
      <c r="N197" s="22"/>
      <c r="O197" s="22"/>
      <c r="P197" s="22"/>
    </row>
    <row r="198" spans="2:16" x14ac:dyDescent="0.25">
      <c r="B198" s="22"/>
      <c r="C198" s="22"/>
      <c r="D198" s="22"/>
      <c r="E198" s="22"/>
      <c r="F198" s="22"/>
      <c r="G198" s="22"/>
      <c r="H198" s="22"/>
      <c r="I198" s="22"/>
      <c r="J198" s="22"/>
      <c r="K198" s="22"/>
      <c r="L198" s="22"/>
      <c r="M198" s="22"/>
      <c r="N198" s="22"/>
      <c r="O198" s="22"/>
      <c r="P198" s="22"/>
    </row>
    <row r="199" spans="2:16" x14ac:dyDescent="0.25">
      <c r="B199" s="22"/>
      <c r="C199" s="22"/>
      <c r="D199" s="22"/>
      <c r="E199" s="22"/>
      <c r="F199" s="22"/>
      <c r="G199" s="22"/>
      <c r="H199" s="22"/>
      <c r="I199" s="22"/>
      <c r="J199" s="22"/>
      <c r="K199" s="22"/>
      <c r="L199" s="22"/>
      <c r="M199" s="22"/>
      <c r="N199" s="22"/>
      <c r="O199" s="22"/>
      <c r="P199" s="22"/>
    </row>
    <row r="200" spans="2:16" x14ac:dyDescent="0.25">
      <c r="B200" s="22"/>
      <c r="C200" s="22"/>
      <c r="D200" s="22"/>
      <c r="E200" s="22"/>
      <c r="F200" s="22"/>
      <c r="G200" s="22"/>
      <c r="H200" s="22"/>
      <c r="I200" s="22"/>
      <c r="J200" s="22"/>
      <c r="K200" s="22"/>
      <c r="L200" s="22"/>
      <c r="M200" s="22"/>
      <c r="N200" s="22"/>
      <c r="O200" s="22"/>
      <c r="P200" s="22"/>
    </row>
    <row r="201" spans="2:16" x14ac:dyDescent="0.25">
      <c r="B201" s="22"/>
      <c r="C201" s="22"/>
      <c r="D201" s="22"/>
      <c r="E201" s="22"/>
      <c r="F201" s="22"/>
      <c r="G201" s="22"/>
      <c r="H201" s="22"/>
      <c r="I201" s="22"/>
      <c r="J201" s="22"/>
      <c r="K201" s="22"/>
      <c r="L201" s="22"/>
      <c r="M201" s="22"/>
      <c r="N201" s="22"/>
      <c r="O201" s="22"/>
      <c r="P201" s="22"/>
    </row>
    <row r="202" spans="2:16" x14ac:dyDescent="0.25">
      <c r="B202" s="22"/>
      <c r="C202" s="22"/>
      <c r="D202" s="22"/>
      <c r="E202" s="22"/>
      <c r="F202" s="22"/>
      <c r="G202" s="22"/>
      <c r="H202" s="22"/>
      <c r="I202" s="22"/>
      <c r="J202" s="22"/>
      <c r="K202" s="22"/>
      <c r="L202" s="22"/>
      <c r="M202" s="22"/>
      <c r="N202" s="22"/>
      <c r="O202" s="22"/>
      <c r="P202" s="22"/>
    </row>
    <row r="203" spans="2:16" x14ac:dyDescent="0.25">
      <c r="B203" s="22"/>
      <c r="C203" s="22"/>
      <c r="D203" s="22"/>
      <c r="E203" s="22"/>
      <c r="F203" s="22"/>
      <c r="G203" s="22"/>
      <c r="H203" s="22"/>
      <c r="I203" s="22"/>
      <c r="J203" s="22"/>
      <c r="K203" s="22"/>
      <c r="L203" s="22"/>
      <c r="M203" s="22"/>
      <c r="N203" s="22"/>
      <c r="O203" s="22"/>
      <c r="P203" s="22"/>
    </row>
    <row r="204" spans="2:16" x14ac:dyDescent="0.25">
      <c r="B204" s="22"/>
      <c r="C204" s="22"/>
      <c r="D204" s="22"/>
      <c r="E204" s="22"/>
      <c r="F204" s="22"/>
      <c r="G204" s="22"/>
      <c r="H204" s="22"/>
      <c r="I204" s="22"/>
      <c r="J204" s="22"/>
      <c r="K204" s="22"/>
      <c r="L204" s="22"/>
      <c r="M204" s="22"/>
      <c r="N204" s="22"/>
      <c r="O204" s="22"/>
      <c r="P204" s="22"/>
    </row>
    <row r="205" spans="2:16" x14ac:dyDescent="0.25">
      <c r="B205" s="22"/>
      <c r="C205" s="22"/>
      <c r="D205" s="22"/>
      <c r="E205" s="22"/>
      <c r="F205" s="22"/>
      <c r="G205" s="22"/>
      <c r="H205" s="22"/>
      <c r="I205" s="22"/>
      <c r="J205" s="22"/>
      <c r="K205" s="22"/>
      <c r="L205" s="22"/>
      <c r="M205" s="22"/>
      <c r="N205" s="22"/>
      <c r="O205" s="22"/>
      <c r="P205" s="22"/>
    </row>
    <row r="206" spans="2:16" x14ac:dyDescent="0.25">
      <c r="B206" s="22"/>
      <c r="C206" s="22"/>
      <c r="D206" s="22"/>
      <c r="E206" s="22"/>
      <c r="F206" s="22"/>
      <c r="G206" s="22"/>
      <c r="H206" s="22"/>
      <c r="I206" s="22"/>
      <c r="J206" s="22"/>
      <c r="K206" s="22"/>
      <c r="L206" s="22"/>
      <c r="M206" s="22"/>
      <c r="N206" s="22"/>
      <c r="O206" s="22"/>
      <c r="P206" s="22"/>
    </row>
    <row r="207" spans="2:16" x14ac:dyDescent="0.25">
      <c r="B207" s="22"/>
      <c r="C207" s="22"/>
      <c r="D207" s="22"/>
      <c r="E207" s="22"/>
      <c r="F207" s="22"/>
      <c r="G207" s="22"/>
      <c r="H207" s="22"/>
      <c r="I207" s="22"/>
      <c r="J207" s="22"/>
      <c r="K207" s="22"/>
      <c r="L207" s="22"/>
      <c r="M207" s="22"/>
      <c r="N207" s="22"/>
      <c r="O207" s="22"/>
      <c r="P207" s="22"/>
    </row>
    <row r="208" spans="2:16" x14ac:dyDescent="0.25">
      <c r="B208" s="22"/>
      <c r="C208" s="22"/>
      <c r="D208" s="22"/>
      <c r="E208" s="22"/>
      <c r="F208" s="22"/>
      <c r="G208" s="22"/>
      <c r="H208" s="22"/>
      <c r="I208" s="22"/>
      <c r="J208" s="22"/>
      <c r="K208" s="22"/>
      <c r="L208" s="22"/>
      <c r="M208" s="22"/>
      <c r="N208" s="22"/>
      <c r="O208" s="22"/>
      <c r="P208" s="22"/>
    </row>
    <row r="209" spans="2:16" x14ac:dyDescent="0.25">
      <c r="B209" s="22"/>
      <c r="C209" s="22"/>
      <c r="D209" s="22"/>
      <c r="E209" s="22"/>
      <c r="F209" s="22"/>
      <c r="G209" s="22"/>
      <c r="H209" s="22"/>
      <c r="I209" s="22"/>
      <c r="J209" s="22"/>
      <c r="K209" s="22"/>
      <c r="L209" s="22"/>
      <c r="M209" s="22"/>
      <c r="N209" s="22"/>
      <c r="O209" s="22"/>
      <c r="P209" s="22"/>
    </row>
    <row r="210" spans="2:16" x14ac:dyDescent="0.25">
      <c r="B210" s="22"/>
      <c r="C210" s="22"/>
      <c r="D210" s="22"/>
      <c r="E210" s="22"/>
      <c r="F210" s="22"/>
      <c r="G210" s="22"/>
      <c r="H210" s="22"/>
      <c r="I210" s="22"/>
      <c r="J210" s="22"/>
      <c r="K210" s="22"/>
      <c r="L210" s="22"/>
      <c r="M210" s="22"/>
      <c r="N210" s="22"/>
      <c r="O210" s="22"/>
      <c r="P210" s="22"/>
    </row>
    <row r="211" spans="2:16" x14ac:dyDescent="0.25">
      <c r="B211" s="22"/>
      <c r="C211" s="22"/>
      <c r="D211" s="22"/>
      <c r="E211" s="22"/>
      <c r="F211" s="22"/>
      <c r="G211" s="22"/>
      <c r="H211" s="22"/>
      <c r="I211" s="22"/>
      <c r="J211" s="22"/>
      <c r="K211" s="22"/>
      <c r="L211" s="22"/>
      <c r="M211" s="22"/>
      <c r="N211" s="22"/>
      <c r="O211" s="22"/>
      <c r="P211" s="22"/>
    </row>
    <row r="212" spans="2:16" x14ac:dyDescent="0.25">
      <c r="B212" s="22"/>
      <c r="C212" s="22"/>
      <c r="D212" s="22"/>
      <c r="E212" s="22"/>
      <c r="F212" s="22"/>
      <c r="G212" s="22"/>
      <c r="H212" s="22"/>
      <c r="I212" s="22"/>
      <c r="J212" s="22"/>
      <c r="K212" s="22"/>
      <c r="L212" s="22"/>
      <c r="M212" s="22"/>
      <c r="N212" s="22"/>
      <c r="O212" s="22"/>
      <c r="P212" s="22"/>
    </row>
    <row r="213" spans="2:16" x14ac:dyDescent="0.25">
      <c r="B213" s="22"/>
      <c r="C213" s="22"/>
      <c r="D213" s="22"/>
      <c r="E213" s="22"/>
      <c r="F213" s="22"/>
      <c r="G213" s="22"/>
      <c r="H213" s="22"/>
      <c r="I213" s="22"/>
      <c r="J213" s="22"/>
      <c r="K213" s="22"/>
      <c r="L213" s="22"/>
      <c r="M213" s="22"/>
      <c r="N213" s="22"/>
      <c r="O213" s="22"/>
      <c r="P213" s="22"/>
    </row>
    <row r="214" spans="2:16" x14ac:dyDescent="0.25">
      <c r="B214" s="22"/>
      <c r="C214" s="22"/>
      <c r="D214" s="22"/>
      <c r="E214" s="22"/>
      <c r="F214" s="22"/>
      <c r="G214" s="22"/>
      <c r="H214" s="22"/>
      <c r="I214" s="22"/>
      <c r="J214" s="22"/>
      <c r="K214" s="22"/>
      <c r="L214" s="22"/>
      <c r="M214" s="22"/>
      <c r="N214" s="22"/>
      <c r="O214" s="22"/>
      <c r="P214" s="22"/>
    </row>
    <row r="215" spans="2:16" x14ac:dyDescent="0.25">
      <c r="B215" s="22"/>
      <c r="C215" s="22"/>
      <c r="D215" s="22"/>
      <c r="E215" s="22"/>
      <c r="F215" s="22"/>
      <c r="G215" s="22"/>
      <c r="H215" s="22"/>
      <c r="I215" s="22"/>
      <c r="J215" s="22"/>
      <c r="K215" s="22"/>
      <c r="L215" s="22"/>
      <c r="M215" s="22"/>
      <c r="N215" s="22"/>
      <c r="O215" s="22"/>
      <c r="P215" s="22"/>
    </row>
    <row r="216" spans="2:16" x14ac:dyDescent="0.25">
      <c r="B216" s="22"/>
      <c r="C216" s="22"/>
      <c r="D216" s="22"/>
      <c r="E216" s="22"/>
      <c r="F216" s="22"/>
      <c r="G216" s="22"/>
      <c r="H216" s="22"/>
      <c r="I216" s="22"/>
      <c r="J216" s="22"/>
      <c r="K216" s="22"/>
      <c r="L216" s="22"/>
      <c r="M216" s="22"/>
      <c r="N216" s="22"/>
      <c r="O216" s="22"/>
      <c r="P216" s="22"/>
    </row>
    <row r="217" spans="2:16" x14ac:dyDescent="0.25">
      <c r="B217" s="22"/>
      <c r="C217" s="22"/>
      <c r="D217" s="22"/>
      <c r="E217" s="22"/>
      <c r="F217" s="22"/>
      <c r="G217" s="22"/>
      <c r="H217" s="22"/>
      <c r="I217" s="22"/>
      <c r="J217" s="22"/>
      <c r="K217" s="22"/>
      <c r="L217" s="22"/>
      <c r="M217" s="22"/>
      <c r="N217" s="22"/>
      <c r="O217" s="22"/>
      <c r="P217" s="22"/>
    </row>
    <row r="218" spans="2:16" x14ac:dyDescent="0.25">
      <c r="B218" s="22"/>
      <c r="C218" s="22"/>
      <c r="D218" s="22"/>
      <c r="E218" s="22"/>
      <c r="F218" s="22"/>
      <c r="G218" s="22"/>
      <c r="H218" s="22"/>
      <c r="I218" s="22"/>
      <c r="J218" s="22"/>
      <c r="K218" s="22"/>
      <c r="L218" s="22"/>
      <c r="M218" s="22"/>
      <c r="N218" s="22"/>
      <c r="O218" s="22"/>
      <c r="P218" s="22"/>
    </row>
    <row r="219" spans="2:16" x14ac:dyDescent="0.25">
      <c r="B219" s="22"/>
      <c r="C219" s="22"/>
      <c r="D219" s="22"/>
      <c r="E219" s="22"/>
      <c r="F219" s="22"/>
      <c r="G219" s="22"/>
      <c r="H219" s="22"/>
      <c r="I219" s="22"/>
      <c r="J219" s="22"/>
      <c r="K219" s="22"/>
      <c r="L219" s="22"/>
      <c r="M219" s="22"/>
      <c r="N219" s="22"/>
      <c r="O219" s="22"/>
      <c r="P219" s="22"/>
    </row>
    <row r="220" spans="2:16" x14ac:dyDescent="0.25">
      <c r="B220" s="22"/>
      <c r="C220" s="22"/>
      <c r="D220" s="22"/>
      <c r="E220" s="22"/>
      <c r="F220" s="22"/>
      <c r="G220" s="22"/>
      <c r="H220" s="22"/>
      <c r="I220" s="22"/>
      <c r="J220" s="22"/>
      <c r="K220" s="22"/>
      <c r="L220" s="22"/>
      <c r="M220" s="22"/>
      <c r="N220" s="22"/>
      <c r="O220" s="22"/>
      <c r="P220" s="22"/>
    </row>
    <row r="221" spans="2:16" x14ac:dyDescent="0.25">
      <c r="B221" s="22"/>
      <c r="C221" s="22"/>
      <c r="D221" s="22"/>
      <c r="E221" s="22"/>
      <c r="F221" s="22"/>
      <c r="G221" s="22"/>
      <c r="H221" s="22"/>
      <c r="I221" s="22"/>
      <c r="J221" s="22"/>
      <c r="K221" s="22"/>
      <c r="L221" s="22"/>
      <c r="M221" s="22"/>
      <c r="N221" s="22"/>
      <c r="O221" s="22"/>
      <c r="P221" s="22"/>
    </row>
    <row r="222" spans="2:16" x14ac:dyDescent="0.25">
      <c r="B222" s="22"/>
      <c r="C222" s="22"/>
      <c r="D222" s="22"/>
      <c r="E222" s="22"/>
      <c r="F222" s="22"/>
      <c r="G222" s="22"/>
      <c r="H222" s="22"/>
      <c r="I222" s="22"/>
      <c r="J222" s="22"/>
      <c r="K222" s="22"/>
      <c r="L222" s="22"/>
      <c r="M222" s="22"/>
      <c r="N222" s="22"/>
      <c r="O222" s="22"/>
      <c r="P222" s="22"/>
    </row>
    <row r="223" spans="2:16" x14ac:dyDescent="0.25">
      <c r="B223" s="22"/>
      <c r="C223" s="22"/>
      <c r="D223" s="22"/>
      <c r="E223" s="22"/>
      <c r="F223" s="22"/>
      <c r="G223" s="22"/>
      <c r="H223" s="22"/>
      <c r="I223" s="22"/>
      <c r="J223" s="22"/>
      <c r="K223" s="22"/>
      <c r="L223" s="22"/>
      <c r="M223" s="22"/>
      <c r="N223" s="22"/>
      <c r="O223" s="22"/>
      <c r="P223" s="22"/>
    </row>
    <row r="224" spans="2:16" x14ac:dyDescent="0.25">
      <c r="B224" s="22"/>
      <c r="C224" s="22"/>
      <c r="D224" s="22"/>
      <c r="E224" s="22"/>
      <c r="F224" s="22"/>
      <c r="G224" s="22"/>
      <c r="H224" s="22"/>
      <c r="I224" s="22"/>
      <c r="J224" s="22"/>
      <c r="K224" s="22"/>
      <c r="L224" s="22"/>
      <c r="M224" s="22"/>
      <c r="N224" s="22"/>
      <c r="O224" s="22"/>
      <c r="P224" s="22"/>
    </row>
    <row r="225" spans="2:16" x14ac:dyDescent="0.25">
      <c r="B225" s="22"/>
      <c r="C225" s="22"/>
      <c r="D225" s="22"/>
      <c r="E225" s="22"/>
      <c r="F225" s="22"/>
      <c r="G225" s="22"/>
      <c r="H225" s="22"/>
      <c r="I225" s="22"/>
      <c r="J225" s="22"/>
      <c r="K225" s="22"/>
      <c r="L225" s="22"/>
      <c r="M225" s="22"/>
      <c r="N225" s="22"/>
      <c r="O225" s="22"/>
      <c r="P225" s="22"/>
    </row>
    <row r="226" spans="2:16" x14ac:dyDescent="0.25">
      <c r="B226" s="22"/>
      <c r="C226" s="22"/>
      <c r="D226" s="22"/>
      <c r="E226" s="22"/>
      <c r="F226" s="22"/>
      <c r="G226" s="22"/>
      <c r="H226" s="22"/>
      <c r="I226" s="22"/>
      <c r="J226" s="22"/>
      <c r="K226" s="22"/>
      <c r="L226" s="22"/>
      <c r="M226" s="22"/>
      <c r="N226" s="22"/>
      <c r="O226" s="22"/>
      <c r="P226" s="22"/>
    </row>
    <row r="227" spans="2:16" x14ac:dyDescent="0.25">
      <c r="B227" s="22"/>
      <c r="C227" s="22"/>
      <c r="D227" s="22"/>
      <c r="E227" s="22"/>
      <c r="F227" s="22"/>
      <c r="G227" s="22"/>
      <c r="H227" s="22"/>
      <c r="I227" s="22"/>
      <c r="J227" s="22"/>
      <c r="K227" s="22"/>
      <c r="L227" s="22"/>
      <c r="M227" s="22"/>
      <c r="N227" s="22"/>
      <c r="O227" s="22"/>
      <c r="P227" s="22"/>
    </row>
    <row r="228" spans="2:16" x14ac:dyDescent="0.25">
      <c r="B228" s="22"/>
      <c r="C228" s="22"/>
      <c r="D228" s="22"/>
      <c r="E228" s="22"/>
      <c r="F228" s="22"/>
      <c r="G228" s="22"/>
      <c r="H228" s="22"/>
      <c r="I228" s="22"/>
      <c r="J228" s="22"/>
      <c r="K228" s="22"/>
      <c r="L228" s="22"/>
      <c r="M228" s="22"/>
      <c r="N228" s="22"/>
      <c r="O228" s="22"/>
      <c r="P228" s="22"/>
    </row>
    <row r="229" spans="2:16" x14ac:dyDescent="0.25">
      <c r="B229" s="22"/>
      <c r="C229" s="22"/>
      <c r="D229" s="22"/>
      <c r="E229" s="22"/>
      <c r="F229" s="22"/>
      <c r="G229" s="22"/>
      <c r="H229" s="22"/>
      <c r="I229" s="22"/>
      <c r="J229" s="22"/>
      <c r="K229" s="22"/>
      <c r="L229" s="22"/>
      <c r="M229" s="22"/>
      <c r="N229" s="22"/>
      <c r="O229" s="22"/>
      <c r="P229" s="22"/>
    </row>
    <row r="230" spans="2:16" x14ac:dyDescent="0.25">
      <c r="B230" s="22"/>
      <c r="C230" s="22"/>
      <c r="D230" s="22"/>
      <c r="E230" s="22"/>
      <c r="F230" s="22"/>
      <c r="G230" s="22"/>
      <c r="H230" s="22"/>
      <c r="I230" s="22"/>
      <c r="J230" s="22"/>
      <c r="K230" s="22"/>
      <c r="L230" s="22"/>
      <c r="M230" s="22"/>
      <c r="N230" s="22"/>
      <c r="O230" s="22"/>
      <c r="P230" s="22"/>
    </row>
    <row r="231" spans="2:16" x14ac:dyDescent="0.25">
      <c r="B231" s="22"/>
      <c r="C231" s="22"/>
      <c r="D231" s="22"/>
      <c r="E231" s="22"/>
      <c r="F231" s="22"/>
      <c r="G231" s="22"/>
      <c r="H231" s="22"/>
      <c r="I231" s="22"/>
      <c r="J231" s="22"/>
      <c r="K231" s="22"/>
      <c r="L231" s="22"/>
      <c r="M231" s="22"/>
      <c r="N231" s="22"/>
      <c r="O231" s="22"/>
      <c r="P231" s="22"/>
    </row>
    <row r="232" spans="2:16" x14ac:dyDescent="0.25">
      <c r="B232" s="22"/>
      <c r="C232" s="22"/>
      <c r="D232" s="22"/>
      <c r="E232" s="22"/>
      <c r="F232" s="22"/>
      <c r="G232" s="22"/>
      <c r="H232" s="22"/>
      <c r="I232" s="22"/>
      <c r="J232" s="22"/>
      <c r="K232" s="22"/>
      <c r="L232" s="22"/>
      <c r="M232" s="22"/>
      <c r="N232" s="22"/>
      <c r="O232" s="22"/>
      <c r="P232" s="22"/>
    </row>
    <row r="233" spans="2:16" x14ac:dyDescent="0.25">
      <c r="B233" s="22"/>
      <c r="C233" s="22"/>
      <c r="D233" s="22"/>
      <c r="E233" s="22"/>
      <c r="F233" s="22"/>
      <c r="G233" s="22"/>
      <c r="H233" s="22"/>
      <c r="I233" s="22"/>
      <c r="J233" s="22"/>
      <c r="K233" s="22"/>
      <c r="L233" s="22"/>
      <c r="M233" s="22"/>
      <c r="N233" s="22"/>
      <c r="O233" s="22"/>
      <c r="P233" s="22"/>
    </row>
    <row r="234" spans="2:16" x14ac:dyDescent="0.25">
      <c r="B234" s="22"/>
      <c r="C234" s="22"/>
      <c r="D234" s="22"/>
      <c r="E234" s="22"/>
      <c r="F234" s="22"/>
      <c r="G234" s="22"/>
      <c r="H234" s="22"/>
      <c r="I234" s="22"/>
      <c r="J234" s="22"/>
      <c r="K234" s="22"/>
      <c r="L234" s="22"/>
      <c r="M234" s="22"/>
      <c r="N234" s="22"/>
      <c r="O234" s="22"/>
      <c r="P234" s="22"/>
    </row>
    <row r="235" spans="2:16" x14ac:dyDescent="0.25">
      <c r="B235" s="22"/>
      <c r="C235" s="22"/>
      <c r="D235" s="22"/>
      <c r="E235" s="22"/>
      <c r="F235" s="22"/>
      <c r="G235" s="22"/>
      <c r="H235" s="22"/>
      <c r="I235" s="22"/>
      <c r="J235" s="22"/>
      <c r="K235" s="22"/>
      <c r="L235" s="22"/>
      <c r="M235" s="22"/>
      <c r="N235" s="22"/>
      <c r="O235" s="22"/>
      <c r="P235" s="22"/>
    </row>
    <row r="236" spans="2:16" x14ac:dyDescent="0.25">
      <c r="B236" s="22"/>
      <c r="C236" s="22"/>
      <c r="D236" s="22"/>
      <c r="E236" s="22"/>
      <c r="F236" s="22"/>
      <c r="G236" s="22"/>
      <c r="H236" s="22"/>
      <c r="I236" s="22"/>
      <c r="J236" s="22"/>
      <c r="K236" s="22"/>
      <c r="L236" s="22"/>
      <c r="M236" s="22"/>
      <c r="N236" s="22"/>
      <c r="O236" s="22"/>
      <c r="P236" s="22"/>
    </row>
    <row r="237" spans="2:16" x14ac:dyDescent="0.25">
      <c r="B237" s="22"/>
      <c r="C237" s="22"/>
      <c r="D237" s="22"/>
      <c r="E237" s="22"/>
      <c r="F237" s="22"/>
      <c r="G237" s="22"/>
      <c r="H237" s="22"/>
      <c r="I237" s="22"/>
      <c r="J237" s="22"/>
      <c r="K237" s="22"/>
      <c r="L237" s="22"/>
      <c r="M237" s="22"/>
      <c r="N237" s="22"/>
      <c r="O237" s="22"/>
      <c r="P237" s="22"/>
    </row>
    <row r="238" spans="2:16" x14ac:dyDescent="0.25">
      <c r="B238" s="22"/>
      <c r="C238" s="22"/>
      <c r="D238" s="22"/>
      <c r="E238" s="22"/>
      <c r="F238" s="22"/>
      <c r="G238" s="22"/>
      <c r="H238" s="22"/>
      <c r="I238" s="22"/>
      <c r="J238" s="22"/>
      <c r="K238" s="22"/>
      <c r="L238" s="22"/>
      <c r="M238" s="22"/>
      <c r="N238" s="22"/>
      <c r="O238" s="22"/>
      <c r="P238" s="22"/>
    </row>
    <row r="239" spans="2:16" x14ac:dyDescent="0.25">
      <c r="B239" s="22"/>
      <c r="C239" s="22"/>
      <c r="D239" s="22"/>
      <c r="E239" s="22"/>
      <c r="F239" s="22"/>
      <c r="G239" s="22"/>
      <c r="H239" s="22"/>
      <c r="I239" s="22"/>
      <c r="J239" s="22"/>
      <c r="K239" s="22"/>
      <c r="L239" s="22"/>
      <c r="M239" s="22"/>
      <c r="N239" s="22"/>
      <c r="O239" s="22"/>
      <c r="P239" s="22"/>
    </row>
    <row r="240" spans="2:16" x14ac:dyDescent="0.25">
      <c r="B240" s="22"/>
      <c r="C240" s="22"/>
      <c r="D240" s="22"/>
      <c r="E240" s="22"/>
      <c r="F240" s="22"/>
      <c r="G240" s="22"/>
      <c r="H240" s="22"/>
      <c r="I240" s="22"/>
      <c r="J240" s="22"/>
      <c r="K240" s="22"/>
      <c r="L240" s="22"/>
      <c r="M240" s="22"/>
      <c r="N240" s="22"/>
      <c r="O240" s="22"/>
      <c r="P240" s="22"/>
    </row>
    <row r="241" spans="2:16" x14ac:dyDescent="0.25">
      <c r="B241" s="22"/>
      <c r="C241" s="22"/>
      <c r="D241" s="22"/>
      <c r="E241" s="22"/>
      <c r="F241" s="22"/>
      <c r="G241" s="22"/>
      <c r="H241" s="22"/>
      <c r="I241" s="22"/>
      <c r="J241" s="22"/>
      <c r="K241" s="22"/>
      <c r="L241" s="22"/>
      <c r="M241" s="22"/>
      <c r="N241" s="22"/>
      <c r="O241" s="22"/>
      <c r="P241" s="22"/>
    </row>
    <row r="242" spans="2:16" x14ac:dyDescent="0.25">
      <c r="B242" s="22"/>
      <c r="C242" s="22"/>
      <c r="D242" s="22"/>
      <c r="E242" s="22"/>
      <c r="F242" s="22"/>
      <c r="G242" s="22"/>
      <c r="H242" s="22"/>
      <c r="I242" s="22"/>
      <c r="J242" s="22"/>
      <c r="K242" s="22"/>
      <c r="L242" s="22"/>
      <c r="M242" s="22"/>
      <c r="N242" s="22"/>
      <c r="O242" s="22"/>
      <c r="P242" s="22"/>
    </row>
    <row r="243" spans="2:16" x14ac:dyDescent="0.25">
      <c r="B243" s="22"/>
      <c r="C243" s="22"/>
      <c r="D243" s="22"/>
      <c r="E243" s="22"/>
      <c r="F243" s="22"/>
      <c r="G243" s="22"/>
      <c r="H243" s="22"/>
      <c r="I243" s="22"/>
      <c r="J243" s="22"/>
      <c r="K243" s="22"/>
      <c r="L243" s="22"/>
      <c r="M243" s="22"/>
      <c r="N243" s="22"/>
      <c r="O243" s="22"/>
      <c r="P243" s="22"/>
    </row>
    <row r="244" spans="2:16" x14ac:dyDescent="0.25">
      <c r="B244" s="22"/>
      <c r="C244" s="22"/>
      <c r="D244" s="22"/>
      <c r="E244" s="22"/>
      <c r="F244" s="22"/>
      <c r="G244" s="22"/>
      <c r="H244" s="22"/>
      <c r="I244" s="22"/>
      <c r="J244" s="22"/>
      <c r="K244" s="22"/>
      <c r="L244" s="22"/>
      <c r="M244" s="22"/>
      <c r="N244" s="22"/>
      <c r="O244" s="22"/>
      <c r="P244" s="22"/>
    </row>
    <row r="245" spans="2:16" x14ac:dyDescent="0.25">
      <c r="B245" s="22"/>
      <c r="C245" s="22"/>
      <c r="D245" s="22"/>
      <c r="E245" s="22"/>
      <c r="F245" s="22"/>
      <c r="G245" s="22"/>
      <c r="H245" s="22"/>
      <c r="I245" s="22"/>
      <c r="J245" s="22"/>
      <c r="K245" s="22"/>
      <c r="L245" s="22"/>
      <c r="M245" s="22"/>
      <c r="N245" s="22"/>
      <c r="O245" s="22"/>
      <c r="P245" s="22"/>
    </row>
    <row r="246" spans="2:16" x14ac:dyDescent="0.25">
      <c r="B246" s="22"/>
      <c r="C246" s="22"/>
      <c r="D246" s="22"/>
      <c r="E246" s="22"/>
      <c r="F246" s="22"/>
      <c r="G246" s="22"/>
      <c r="H246" s="22"/>
      <c r="I246" s="22"/>
      <c r="J246" s="22"/>
      <c r="K246" s="22"/>
      <c r="L246" s="22"/>
      <c r="M246" s="22"/>
      <c r="N246" s="22"/>
      <c r="O246" s="22"/>
      <c r="P246" s="22"/>
    </row>
    <row r="247" spans="2:16" x14ac:dyDescent="0.25">
      <c r="B247" s="22"/>
      <c r="C247" s="22"/>
      <c r="D247" s="22"/>
      <c r="E247" s="22"/>
      <c r="F247" s="22"/>
      <c r="G247" s="22"/>
      <c r="H247" s="22"/>
      <c r="I247" s="22"/>
      <c r="J247" s="22"/>
      <c r="K247" s="22"/>
      <c r="L247" s="22"/>
      <c r="M247" s="22"/>
      <c r="N247" s="22"/>
      <c r="O247" s="22"/>
      <c r="P247" s="22"/>
    </row>
    <row r="248" spans="2:16" x14ac:dyDescent="0.25">
      <c r="B248" s="22"/>
      <c r="C248" s="22"/>
      <c r="D248" s="22"/>
      <c r="E248" s="22"/>
      <c r="F248" s="22"/>
      <c r="G248" s="22"/>
      <c r="H248" s="22"/>
      <c r="I248" s="22"/>
      <c r="J248" s="22"/>
      <c r="K248" s="22"/>
      <c r="L248" s="22"/>
      <c r="M248" s="22"/>
      <c r="N248" s="22"/>
      <c r="O248" s="22"/>
      <c r="P248" s="22"/>
    </row>
    <row r="249" spans="2:16" x14ac:dyDescent="0.25">
      <c r="B249" s="22"/>
      <c r="C249" s="22"/>
      <c r="D249" s="22"/>
      <c r="E249" s="22"/>
      <c r="F249" s="22"/>
      <c r="G249" s="22"/>
      <c r="H249" s="22"/>
      <c r="I249" s="22"/>
      <c r="J249" s="22"/>
      <c r="K249" s="22"/>
      <c r="L249" s="22"/>
      <c r="M249" s="22"/>
      <c r="N249" s="22"/>
      <c r="O249" s="22"/>
      <c r="P249" s="22"/>
    </row>
    <row r="250" spans="2:16" x14ac:dyDescent="0.25">
      <c r="B250" s="22"/>
      <c r="C250" s="22"/>
      <c r="D250" s="22"/>
      <c r="E250" s="22"/>
      <c r="F250" s="22"/>
      <c r="G250" s="22"/>
      <c r="H250" s="22"/>
      <c r="I250" s="22"/>
      <c r="J250" s="22"/>
      <c r="K250" s="22"/>
      <c r="L250" s="22"/>
      <c r="M250" s="22"/>
      <c r="N250" s="22"/>
      <c r="O250" s="22"/>
      <c r="P250" s="22"/>
    </row>
    <row r="251" spans="2:16" x14ac:dyDescent="0.25">
      <c r="B251" s="22"/>
      <c r="C251" s="22"/>
      <c r="D251" s="22"/>
      <c r="E251" s="22"/>
      <c r="F251" s="22"/>
      <c r="G251" s="22"/>
      <c r="H251" s="22"/>
      <c r="I251" s="22"/>
      <c r="J251" s="22"/>
      <c r="K251" s="22"/>
      <c r="L251" s="22"/>
      <c r="M251" s="22"/>
      <c r="N251" s="22"/>
      <c r="O251" s="22"/>
      <c r="P251" s="22"/>
    </row>
    <row r="252" spans="2:16" x14ac:dyDescent="0.25">
      <c r="B252" s="22"/>
      <c r="C252" s="22"/>
      <c r="D252" s="22"/>
      <c r="E252" s="22"/>
      <c r="F252" s="22"/>
      <c r="G252" s="22"/>
      <c r="H252" s="22"/>
      <c r="I252" s="22"/>
      <c r="J252" s="22"/>
      <c r="K252" s="22"/>
      <c r="L252" s="22"/>
      <c r="M252" s="22"/>
      <c r="N252" s="22"/>
      <c r="O252" s="22"/>
      <c r="P252" s="22"/>
    </row>
    <row r="253" spans="2:16" x14ac:dyDescent="0.25">
      <c r="B253" s="22"/>
      <c r="C253" s="22"/>
      <c r="D253" s="22"/>
      <c r="E253" s="22"/>
      <c r="F253" s="22"/>
      <c r="G253" s="22"/>
      <c r="H253" s="22"/>
      <c r="I253" s="22"/>
      <c r="J253" s="22"/>
      <c r="K253" s="22"/>
      <c r="L253" s="22"/>
      <c r="M253" s="22"/>
      <c r="N253" s="22"/>
      <c r="O253" s="22"/>
      <c r="P253" s="22"/>
    </row>
    <row r="254" spans="2:16" x14ac:dyDescent="0.25">
      <c r="B254" s="22"/>
      <c r="C254" s="22"/>
      <c r="D254" s="22"/>
      <c r="E254" s="22"/>
      <c r="F254" s="22"/>
      <c r="G254" s="22"/>
      <c r="H254" s="22"/>
      <c r="I254" s="22"/>
      <c r="J254" s="22"/>
      <c r="K254" s="22"/>
      <c r="L254" s="22"/>
      <c r="M254" s="22"/>
      <c r="N254" s="22"/>
      <c r="O254" s="22"/>
      <c r="P254" s="22"/>
    </row>
    <row r="255" spans="2:16" x14ac:dyDescent="0.25">
      <c r="B255" s="22"/>
      <c r="C255" s="22"/>
      <c r="D255" s="22"/>
      <c r="E255" s="22"/>
      <c r="F255" s="22"/>
      <c r="G255" s="22"/>
      <c r="H255" s="22"/>
      <c r="I255" s="22"/>
      <c r="J255" s="22"/>
      <c r="K255" s="22"/>
      <c r="L255" s="22"/>
      <c r="M255" s="22"/>
      <c r="N255" s="22"/>
      <c r="O255" s="22"/>
      <c r="P255" s="22"/>
    </row>
    <row r="256" spans="2:16" x14ac:dyDescent="0.25">
      <c r="B256" s="22"/>
      <c r="C256" s="22"/>
      <c r="D256" s="22"/>
      <c r="E256" s="22"/>
      <c r="F256" s="22"/>
      <c r="G256" s="22"/>
      <c r="H256" s="22"/>
      <c r="I256" s="22"/>
      <c r="J256" s="22"/>
      <c r="K256" s="22"/>
      <c r="L256" s="22"/>
      <c r="M256" s="22"/>
      <c r="N256" s="22"/>
      <c r="O256" s="22"/>
      <c r="P256" s="22"/>
    </row>
    <row r="257" spans="2:16" x14ac:dyDescent="0.25">
      <c r="B257" s="22"/>
      <c r="C257" s="22"/>
      <c r="D257" s="22"/>
      <c r="E257" s="22"/>
      <c r="F257" s="22"/>
      <c r="G257" s="22"/>
      <c r="H257" s="22"/>
      <c r="I257" s="22"/>
      <c r="J257" s="22"/>
      <c r="K257" s="22"/>
      <c r="L257" s="22"/>
      <c r="M257" s="22"/>
      <c r="N257" s="22"/>
      <c r="O257" s="22"/>
      <c r="P257" s="22"/>
    </row>
    <row r="258" spans="2:16" x14ac:dyDescent="0.25">
      <c r="B258" s="22"/>
      <c r="C258" s="22"/>
      <c r="D258" s="22"/>
      <c r="E258" s="22"/>
      <c r="F258" s="22"/>
      <c r="G258" s="22"/>
      <c r="H258" s="22"/>
      <c r="I258" s="22"/>
      <c r="J258" s="22"/>
      <c r="K258" s="22"/>
      <c r="L258" s="22"/>
      <c r="M258" s="22"/>
      <c r="N258" s="22"/>
      <c r="O258" s="22"/>
      <c r="P258" s="22"/>
    </row>
    <row r="259" spans="2:16" x14ac:dyDescent="0.25">
      <c r="B259" s="22"/>
      <c r="C259" s="22"/>
      <c r="D259" s="22"/>
      <c r="E259" s="22"/>
      <c r="F259" s="22"/>
      <c r="G259" s="22"/>
      <c r="H259" s="22"/>
      <c r="I259" s="22"/>
      <c r="J259" s="22"/>
      <c r="K259" s="22"/>
      <c r="L259" s="22"/>
      <c r="M259" s="22"/>
      <c r="N259" s="22"/>
      <c r="O259" s="22"/>
      <c r="P259" s="22"/>
    </row>
    <row r="260" spans="2:16" x14ac:dyDescent="0.25">
      <c r="B260" s="22"/>
      <c r="C260" s="22"/>
      <c r="D260" s="22"/>
      <c r="E260" s="22"/>
      <c r="F260" s="22"/>
      <c r="G260" s="22"/>
      <c r="H260" s="22"/>
      <c r="I260" s="22"/>
      <c r="J260" s="22"/>
      <c r="K260" s="22"/>
      <c r="L260" s="22"/>
      <c r="M260" s="22"/>
      <c r="N260" s="22"/>
      <c r="O260" s="22"/>
      <c r="P260" s="22"/>
    </row>
    <row r="261" spans="2:16" x14ac:dyDescent="0.25">
      <c r="B261" s="22"/>
      <c r="C261" s="22"/>
      <c r="D261" s="22"/>
      <c r="E261" s="22"/>
      <c r="F261" s="22"/>
      <c r="G261" s="22"/>
      <c r="H261" s="22"/>
      <c r="I261" s="22"/>
      <c r="J261" s="22"/>
      <c r="K261" s="22"/>
      <c r="L261" s="22"/>
      <c r="M261" s="22"/>
      <c r="N261" s="22"/>
      <c r="O261" s="22"/>
      <c r="P261" s="22"/>
    </row>
    <row r="262" spans="2:16" x14ac:dyDescent="0.25">
      <c r="B262" s="22"/>
      <c r="C262" s="22"/>
      <c r="D262" s="22"/>
      <c r="E262" s="22"/>
      <c r="F262" s="22"/>
      <c r="G262" s="22"/>
      <c r="H262" s="22"/>
      <c r="I262" s="22"/>
      <c r="J262" s="22"/>
      <c r="K262" s="22"/>
      <c r="L262" s="22"/>
      <c r="M262" s="22"/>
      <c r="N262" s="22"/>
      <c r="O262" s="22"/>
      <c r="P262" s="22"/>
    </row>
    <row r="263" spans="2:16" x14ac:dyDescent="0.25">
      <c r="B263" s="22"/>
      <c r="C263" s="22"/>
      <c r="D263" s="22"/>
      <c r="E263" s="22"/>
      <c r="F263" s="22"/>
      <c r="G263" s="22"/>
      <c r="H263" s="22"/>
      <c r="I263" s="22"/>
      <c r="J263" s="22"/>
      <c r="K263" s="22"/>
      <c r="L263" s="22"/>
      <c r="M263" s="22"/>
      <c r="N263" s="22"/>
      <c r="O263" s="22"/>
      <c r="P263" s="22"/>
    </row>
    <row r="264" spans="2:16" x14ac:dyDescent="0.25">
      <c r="B264" s="22"/>
      <c r="C264" s="22"/>
      <c r="D264" s="22"/>
      <c r="E264" s="22"/>
      <c r="F264" s="22"/>
      <c r="G264" s="22"/>
      <c r="H264" s="22"/>
      <c r="I264" s="22"/>
      <c r="J264" s="22"/>
      <c r="K264" s="22"/>
      <c r="L264" s="22"/>
      <c r="M264" s="22"/>
      <c r="N264" s="22"/>
      <c r="O264" s="22"/>
      <c r="P264" s="22"/>
    </row>
    <row r="265" spans="2:16" x14ac:dyDescent="0.25">
      <c r="B265" s="22"/>
      <c r="C265" s="22"/>
      <c r="D265" s="22"/>
      <c r="E265" s="22"/>
      <c r="F265" s="22"/>
      <c r="G265" s="22"/>
      <c r="H265" s="22"/>
      <c r="I265" s="22"/>
      <c r="J265" s="22"/>
      <c r="K265" s="22"/>
      <c r="L265" s="22"/>
      <c r="M265" s="22"/>
      <c r="N265" s="22"/>
      <c r="O265" s="22"/>
      <c r="P265" s="22"/>
    </row>
    <row r="266" spans="2:16" x14ac:dyDescent="0.25">
      <c r="B266" s="22"/>
      <c r="C266" s="22"/>
      <c r="D266" s="22"/>
      <c r="E266" s="22"/>
      <c r="F266" s="22"/>
      <c r="G266" s="22"/>
      <c r="H266" s="22"/>
      <c r="I266" s="22"/>
      <c r="J266" s="22"/>
      <c r="K266" s="22"/>
      <c r="L266" s="22"/>
      <c r="M266" s="22"/>
      <c r="N266" s="22"/>
      <c r="O266" s="22"/>
      <c r="P266" s="22"/>
    </row>
    <row r="267" spans="2:16" x14ac:dyDescent="0.25">
      <c r="B267" s="22"/>
      <c r="C267" s="22"/>
      <c r="D267" s="22"/>
      <c r="E267" s="22"/>
      <c r="F267" s="22"/>
      <c r="G267" s="22"/>
      <c r="H267" s="22"/>
      <c r="I267" s="22"/>
      <c r="J267" s="22"/>
      <c r="K267" s="22"/>
      <c r="L267" s="22"/>
      <c r="M267" s="22"/>
      <c r="N267" s="22"/>
      <c r="O267" s="22"/>
      <c r="P267" s="22"/>
    </row>
    <row r="268" spans="2:16" x14ac:dyDescent="0.25">
      <c r="B268" s="22"/>
      <c r="C268" s="22"/>
      <c r="D268" s="22"/>
      <c r="E268" s="22"/>
      <c r="F268" s="22"/>
      <c r="G268" s="22"/>
      <c r="H268" s="22"/>
      <c r="I268" s="22"/>
      <c r="J268" s="22"/>
      <c r="K268" s="22"/>
      <c r="L268" s="22"/>
      <c r="M268" s="22"/>
      <c r="N268" s="22"/>
      <c r="O268" s="22"/>
      <c r="P268" s="22"/>
    </row>
    <row r="269" spans="2:16" x14ac:dyDescent="0.25">
      <c r="B269" s="22"/>
      <c r="C269" s="22"/>
      <c r="D269" s="22"/>
      <c r="E269" s="22"/>
      <c r="F269" s="22"/>
      <c r="G269" s="22"/>
      <c r="H269" s="22"/>
      <c r="I269" s="22"/>
      <c r="J269" s="22"/>
      <c r="K269" s="22"/>
      <c r="L269" s="22"/>
      <c r="M269" s="22"/>
      <c r="N269" s="22"/>
      <c r="O269" s="22"/>
      <c r="P269" s="22"/>
    </row>
    <row r="270" spans="2:16" x14ac:dyDescent="0.25">
      <c r="B270" s="22"/>
      <c r="C270" s="22"/>
      <c r="D270" s="22"/>
      <c r="E270" s="22"/>
      <c r="F270" s="22"/>
      <c r="G270" s="22"/>
      <c r="H270" s="22"/>
      <c r="I270" s="22"/>
      <c r="J270" s="22"/>
      <c r="K270" s="22"/>
      <c r="L270" s="22"/>
      <c r="M270" s="22"/>
      <c r="N270" s="22"/>
      <c r="O270" s="22"/>
      <c r="P270" s="22"/>
    </row>
    <row r="271" spans="2:16" x14ac:dyDescent="0.25">
      <c r="B271" s="22"/>
      <c r="C271" s="22"/>
      <c r="D271" s="22"/>
      <c r="E271" s="22"/>
      <c r="F271" s="22"/>
      <c r="G271" s="22"/>
      <c r="H271" s="22"/>
      <c r="I271" s="22"/>
      <c r="J271" s="22"/>
      <c r="K271" s="22"/>
      <c r="L271" s="22"/>
      <c r="M271" s="22"/>
      <c r="N271" s="22"/>
      <c r="O271" s="22"/>
      <c r="P271" s="22"/>
    </row>
    <row r="272" spans="2:16" x14ac:dyDescent="0.25">
      <c r="B272" s="22"/>
      <c r="C272" s="22"/>
      <c r="D272" s="22"/>
      <c r="E272" s="22"/>
      <c r="F272" s="22"/>
      <c r="G272" s="22"/>
      <c r="H272" s="22"/>
      <c r="I272" s="22"/>
      <c r="J272" s="22"/>
      <c r="K272" s="22"/>
      <c r="L272" s="22"/>
      <c r="M272" s="22"/>
      <c r="N272" s="22"/>
      <c r="O272" s="22"/>
      <c r="P272" s="22"/>
    </row>
    <row r="273" spans="2:16" x14ac:dyDescent="0.25">
      <c r="B273" s="22"/>
      <c r="C273" s="22"/>
      <c r="D273" s="22"/>
      <c r="E273" s="22"/>
      <c r="F273" s="22"/>
      <c r="G273" s="22"/>
      <c r="H273" s="22"/>
      <c r="I273" s="22"/>
      <c r="J273" s="22"/>
      <c r="K273" s="22"/>
      <c r="L273" s="22"/>
      <c r="M273" s="22"/>
      <c r="N273" s="22"/>
      <c r="O273" s="22"/>
      <c r="P273" s="22"/>
    </row>
    <row r="274" spans="2:16" x14ac:dyDescent="0.25">
      <c r="B274" s="22"/>
      <c r="C274" s="22"/>
      <c r="D274" s="22"/>
      <c r="E274" s="22"/>
      <c r="F274" s="22"/>
      <c r="G274" s="22"/>
      <c r="H274" s="22"/>
      <c r="I274" s="22"/>
      <c r="J274" s="22"/>
      <c r="K274" s="22"/>
      <c r="L274" s="22"/>
      <c r="M274" s="22"/>
      <c r="N274" s="22"/>
      <c r="O274" s="22"/>
      <c r="P274" s="22"/>
    </row>
    <row r="275" spans="2:16" x14ac:dyDescent="0.25">
      <c r="B275" s="22"/>
      <c r="C275" s="22"/>
      <c r="D275" s="22"/>
      <c r="E275" s="22"/>
      <c r="F275" s="22"/>
      <c r="G275" s="22"/>
      <c r="H275" s="22"/>
      <c r="I275" s="22"/>
      <c r="J275" s="22"/>
      <c r="K275" s="22"/>
      <c r="L275" s="22"/>
      <c r="M275" s="22"/>
      <c r="N275" s="22"/>
      <c r="O275" s="22"/>
      <c r="P275" s="22"/>
    </row>
    <row r="276" spans="2:16" x14ac:dyDescent="0.25">
      <c r="B276" s="22"/>
      <c r="C276" s="22"/>
      <c r="D276" s="22"/>
      <c r="E276" s="22"/>
      <c r="F276" s="22"/>
      <c r="G276" s="22"/>
      <c r="H276" s="22"/>
      <c r="I276" s="22"/>
      <c r="J276" s="22"/>
      <c r="K276" s="22"/>
      <c r="L276" s="22"/>
      <c r="M276" s="22"/>
      <c r="N276" s="22"/>
      <c r="O276" s="22"/>
      <c r="P276" s="22"/>
    </row>
    <row r="277" spans="2:16" x14ac:dyDescent="0.25">
      <c r="B277" s="22"/>
      <c r="C277" s="22"/>
      <c r="D277" s="22"/>
      <c r="E277" s="22"/>
      <c r="F277" s="22"/>
      <c r="G277" s="22"/>
      <c r="H277" s="22"/>
      <c r="I277" s="22"/>
      <c r="J277" s="22"/>
      <c r="K277" s="22"/>
      <c r="L277" s="22"/>
      <c r="M277" s="22"/>
      <c r="N277" s="22"/>
      <c r="O277" s="22"/>
      <c r="P277" s="22"/>
    </row>
    <row r="278" spans="2:16" x14ac:dyDescent="0.25">
      <c r="B278" s="22"/>
      <c r="C278" s="22"/>
      <c r="D278" s="22"/>
      <c r="E278" s="22"/>
      <c r="F278" s="22"/>
      <c r="G278" s="22"/>
      <c r="H278" s="22"/>
      <c r="I278" s="22"/>
      <c r="J278" s="22"/>
      <c r="K278" s="22"/>
      <c r="L278" s="22"/>
      <c r="M278" s="22"/>
      <c r="N278" s="22"/>
      <c r="O278" s="22"/>
      <c r="P278" s="22"/>
    </row>
    <row r="279" spans="2:16" x14ac:dyDescent="0.25">
      <c r="B279" s="22"/>
      <c r="C279" s="22"/>
      <c r="D279" s="22"/>
      <c r="E279" s="22"/>
      <c r="F279" s="22"/>
      <c r="G279" s="22"/>
      <c r="H279" s="22"/>
      <c r="I279" s="22"/>
      <c r="J279" s="22"/>
      <c r="K279" s="22"/>
      <c r="L279" s="22"/>
      <c r="M279" s="22"/>
      <c r="N279" s="22"/>
      <c r="O279" s="22"/>
      <c r="P279" s="22"/>
    </row>
    <row r="280" spans="2:16" x14ac:dyDescent="0.25">
      <c r="B280" s="22"/>
      <c r="C280" s="22"/>
      <c r="D280" s="22"/>
      <c r="E280" s="22"/>
      <c r="F280" s="22"/>
      <c r="G280" s="22"/>
      <c r="H280" s="22"/>
      <c r="I280" s="22"/>
      <c r="J280" s="22"/>
      <c r="K280" s="22"/>
      <c r="L280" s="22"/>
      <c r="M280" s="22"/>
      <c r="N280" s="22"/>
      <c r="O280" s="22"/>
      <c r="P280" s="22"/>
    </row>
    <row r="281" spans="2:16" x14ac:dyDescent="0.25">
      <c r="B281" s="22"/>
      <c r="C281" s="22"/>
      <c r="D281" s="22"/>
      <c r="E281" s="22"/>
      <c r="F281" s="22"/>
      <c r="G281" s="22"/>
      <c r="H281" s="22"/>
      <c r="I281" s="22"/>
      <c r="J281" s="22"/>
      <c r="K281" s="22"/>
      <c r="L281" s="22"/>
      <c r="M281" s="22"/>
      <c r="N281" s="22"/>
      <c r="O281" s="22"/>
      <c r="P281" s="22"/>
    </row>
    <row r="282" spans="2:16" x14ac:dyDescent="0.25">
      <c r="B282" s="22"/>
      <c r="C282" s="22"/>
      <c r="D282" s="22"/>
      <c r="E282" s="22"/>
      <c r="F282" s="22"/>
      <c r="G282" s="22"/>
      <c r="H282" s="22"/>
      <c r="I282" s="22"/>
      <c r="J282" s="22"/>
      <c r="K282" s="22"/>
      <c r="L282" s="22"/>
      <c r="M282" s="22"/>
      <c r="N282" s="22"/>
      <c r="O282" s="22"/>
      <c r="P282" s="22"/>
    </row>
    <row r="283" spans="2:16" x14ac:dyDescent="0.25">
      <c r="B283" s="22"/>
      <c r="C283" s="22"/>
      <c r="D283" s="22"/>
      <c r="E283" s="22"/>
      <c r="F283" s="22"/>
      <c r="G283" s="22"/>
      <c r="H283" s="22"/>
      <c r="I283" s="22"/>
      <c r="J283" s="22"/>
      <c r="K283" s="22"/>
      <c r="L283" s="22"/>
      <c r="M283" s="22"/>
      <c r="N283" s="22"/>
      <c r="O283" s="22"/>
      <c r="P283" s="22"/>
    </row>
    <row r="284" spans="2:16" x14ac:dyDescent="0.25">
      <c r="B284" s="22"/>
      <c r="C284" s="22"/>
      <c r="D284" s="22"/>
      <c r="E284" s="22"/>
      <c r="F284" s="22"/>
      <c r="G284" s="22"/>
      <c r="H284" s="22"/>
      <c r="I284" s="22"/>
      <c r="J284" s="22"/>
      <c r="K284" s="22"/>
      <c r="L284" s="22"/>
      <c r="M284" s="22"/>
      <c r="N284" s="22"/>
      <c r="O284" s="22"/>
      <c r="P284" s="22"/>
    </row>
    <row r="285" spans="2:16" x14ac:dyDescent="0.25">
      <c r="B285" s="22"/>
      <c r="C285" s="22"/>
      <c r="D285" s="22"/>
      <c r="E285" s="22"/>
      <c r="F285" s="22"/>
      <c r="G285" s="22"/>
      <c r="H285" s="22"/>
      <c r="I285" s="22"/>
      <c r="J285" s="22"/>
      <c r="K285" s="22"/>
      <c r="L285" s="22"/>
      <c r="M285" s="22"/>
      <c r="N285" s="22"/>
      <c r="O285" s="22"/>
      <c r="P285" s="22"/>
    </row>
    <row r="286" spans="2:16" x14ac:dyDescent="0.25">
      <c r="B286" s="22"/>
      <c r="C286" s="22"/>
      <c r="D286" s="22"/>
      <c r="E286" s="22"/>
      <c r="F286" s="22"/>
      <c r="G286" s="22"/>
      <c r="H286" s="22"/>
      <c r="I286" s="22"/>
      <c r="J286" s="22"/>
      <c r="K286" s="22"/>
      <c r="L286" s="22"/>
      <c r="M286" s="22"/>
      <c r="N286" s="22"/>
      <c r="O286" s="22"/>
      <c r="P286" s="22"/>
    </row>
    <row r="287" spans="2:16" x14ac:dyDescent="0.25">
      <c r="B287" s="22"/>
      <c r="C287" s="22"/>
      <c r="D287" s="22"/>
      <c r="E287" s="22"/>
      <c r="F287" s="22"/>
      <c r="G287" s="22"/>
      <c r="H287" s="22"/>
      <c r="I287" s="22"/>
      <c r="J287" s="22"/>
      <c r="K287" s="22"/>
      <c r="L287" s="22"/>
      <c r="M287" s="22"/>
      <c r="N287" s="22"/>
      <c r="O287" s="22"/>
      <c r="P287" s="22"/>
    </row>
    <row r="288" spans="2:16" x14ac:dyDescent="0.25">
      <c r="B288" s="22"/>
      <c r="C288" s="22"/>
      <c r="D288" s="22"/>
      <c r="E288" s="22"/>
      <c r="F288" s="22"/>
      <c r="G288" s="22"/>
      <c r="H288" s="22"/>
      <c r="I288" s="22"/>
      <c r="J288" s="22"/>
      <c r="K288" s="22"/>
      <c r="L288" s="22"/>
      <c r="M288" s="22"/>
      <c r="N288" s="22"/>
      <c r="O288" s="22"/>
      <c r="P288" s="22"/>
    </row>
    <row r="289" spans="2:16" x14ac:dyDescent="0.25">
      <c r="B289" s="22"/>
      <c r="C289" s="22"/>
      <c r="D289" s="22"/>
      <c r="E289" s="22"/>
      <c r="F289" s="22"/>
      <c r="G289" s="22"/>
      <c r="H289" s="22"/>
      <c r="I289" s="22"/>
      <c r="J289" s="22"/>
      <c r="K289" s="22"/>
      <c r="L289" s="22"/>
      <c r="M289" s="22"/>
      <c r="N289" s="22"/>
      <c r="O289" s="22"/>
      <c r="P289" s="22"/>
    </row>
    <row r="290" spans="2:16" x14ac:dyDescent="0.25">
      <c r="B290" s="22"/>
      <c r="C290" s="22"/>
      <c r="D290" s="22"/>
      <c r="E290" s="22"/>
      <c r="F290" s="22"/>
      <c r="G290" s="22"/>
      <c r="H290" s="22"/>
      <c r="I290" s="22"/>
      <c r="J290" s="22"/>
      <c r="K290" s="22"/>
      <c r="L290" s="22"/>
      <c r="M290" s="22"/>
      <c r="N290" s="22"/>
      <c r="O290" s="22"/>
      <c r="P290" s="22"/>
    </row>
    <row r="291" spans="2:16" x14ac:dyDescent="0.25">
      <c r="B291" s="22"/>
      <c r="C291" s="22"/>
      <c r="D291" s="22"/>
      <c r="E291" s="22"/>
      <c r="F291" s="22"/>
      <c r="G291" s="22"/>
      <c r="H291" s="22"/>
      <c r="I291" s="22"/>
      <c r="J291" s="22"/>
      <c r="K291" s="22"/>
      <c r="L291" s="22"/>
      <c r="M291" s="22"/>
      <c r="N291" s="22"/>
      <c r="O291" s="22"/>
      <c r="P291" s="22"/>
    </row>
    <row r="292" spans="2:16" x14ac:dyDescent="0.25">
      <c r="B292" s="22"/>
      <c r="C292" s="22"/>
      <c r="D292" s="22"/>
      <c r="E292" s="22"/>
      <c r="F292" s="22"/>
      <c r="G292" s="22"/>
      <c r="H292" s="22"/>
      <c r="I292" s="22"/>
      <c r="J292" s="22"/>
      <c r="K292" s="22"/>
      <c r="L292" s="22"/>
      <c r="M292" s="22"/>
      <c r="N292" s="22"/>
      <c r="O292" s="22"/>
      <c r="P292" s="22"/>
    </row>
    <row r="293" spans="2:16" x14ac:dyDescent="0.25">
      <c r="B293" s="22"/>
      <c r="C293" s="22"/>
      <c r="D293" s="22"/>
      <c r="E293" s="22"/>
      <c r="F293" s="22"/>
      <c r="G293" s="22"/>
      <c r="H293" s="22"/>
      <c r="I293" s="22"/>
      <c r="J293" s="22"/>
      <c r="K293" s="22"/>
      <c r="L293" s="22"/>
      <c r="M293" s="22"/>
      <c r="N293" s="22"/>
      <c r="O293" s="22"/>
      <c r="P293" s="22"/>
    </row>
    <row r="294" spans="2:16" x14ac:dyDescent="0.25">
      <c r="B294" s="22"/>
      <c r="C294" s="22"/>
      <c r="D294" s="22"/>
      <c r="E294" s="22"/>
      <c r="F294" s="22"/>
      <c r="G294" s="22"/>
      <c r="H294" s="22"/>
      <c r="I294" s="22"/>
      <c r="J294" s="22"/>
      <c r="K294" s="22"/>
      <c r="L294" s="22"/>
      <c r="M294" s="22"/>
      <c r="N294" s="22"/>
      <c r="O294" s="22"/>
      <c r="P294" s="22"/>
    </row>
    <row r="295" spans="2:16" x14ac:dyDescent="0.25">
      <c r="B295" s="22"/>
      <c r="C295" s="22"/>
      <c r="D295" s="22"/>
      <c r="E295" s="22"/>
      <c r="F295" s="22"/>
      <c r="G295" s="22"/>
      <c r="H295" s="22"/>
      <c r="I295" s="22"/>
      <c r="J295" s="22"/>
      <c r="K295" s="22"/>
      <c r="L295" s="22"/>
      <c r="M295" s="22"/>
      <c r="N295" s="22"/>
      <c r="O295" s="22"/>
      <c r="P295" s="22"/>
    </row>
    <row r="296" spans="2:16" x14ac:dyDescent="0.25">
      <c r="B296" s="22"/>
      <c r="C296" s="22"/>
      <c r="D296" s="22"/>
      <c r="E296" s="22"/>
      <c r="F296" s="22"/>
      <c r="G296" s="22"/>
      <c r="H296" s="22"/>
      <c r="I296" s="22"/>
      <c r="J296" s="22"/>
      <c r="K296" s="22"/>
      <c r="L296" s="22"/>
      <c r="M296" s="22"/>
      <c r="N296" s="22"/>
      <c r="O296" s="22"/>
      <c r="P296" s="22"/>
    </row>
    <row r="297" spans="2:16" x14ac:dyDescent="0.25">
      <c r="B297" s="22"/>
      <c r="C297" s="22"/>
      <c r="D297" s="22"/>
      <c r="E297" s="22"/>
      <c r="F297" s="22"/>
      <c r="G297" s="22"/>
      <c r="H297" s="22"/>
      <c r="I297" s="22"/>
      <c r="J297" s="22"/>
      <c r="K297" s="22"/>
      <c r="L297" s="22"/>
      <c r="M297" s="22"/>
      <c r="N297" s="22"/>
      <c r="O297" s="22"/>
      <c r="P297" s="22"/>
    </row>
    <row r="298" spans="2:16" x14ac:dyDescent="0.25">
      <c r="B298" s="22"/>
      <c r="C298" s="22"/>
      <c r="D298" s="22"/>
      <c r="E298" s="22"/>
      <c r="F298" s="22"/>
      <c r="G298" s="22"/>
      <c r="H298" s="22"/>
      <c r="I298" s="22"/>
      <c r="J298" s="22"/>
      <c r="K298" s="22"/>
      <c r="L298" s="22"/>
      <c r="M298" s="22"/>
      <c r="N298" s="22"/>
      <c r="O298" s="22"/>
      <c r="P298" s="22"/>
    </row>
    <row r="299" spans="2:16" x14ac:dyDescent="0.25">
      <c r="B299" s="22"/>
      <c r="C299" s="22"/>
      <c r="D299" s="22"/>
      <c r="E299" s="22"/>
      <c r="F299" s="22"/>
      <c r="G299" s="22"/>
      <c r="H299" s="22"/>
      <c r="I299" s="22"/>
      <c r="J299" s="22"/>
      <c r="K299" s="22"/>
      <c r="L299" s="22"/>
      <c r="M299" s="22"/>
      <c r="N299" s="22"/>
      <c r="O299" s="22"/>
      <c r="P299" s="22"/>
    </row>
    <row r="300" spans="2:16" x14ac:dyDescent="0.25">
      <c r="B300" s="22"/>
      <c r="C300" s="22"/>
      <c r="D300" s="22"/>
      <c r="E300" s="22"/>
      <c r="F300" s="22"/>
      <c r="G300" s="22"/>
      <c r="H300" s="22"/>
      <c r="I300" s="22"/>
      <c r="J300" s="22"/>
      <c r="K300" s="22"/>
      <c r="L300" s="22"/>
      <c r="M300" s="22"/>
      <c r="N300" s="22"/>
      <c r="O300" s="22"/>
      <c r="P300" s="22"/>
    </row>
    <row r="301" spans="2:16" x14ac:dyDescent="0.25">
      <c r="B301" s="22"/>
      <c r="C301" s="22"/>
      <c r="D301" s="22"/>
      <c r="E301" s="22"/>
      <c r="F301" s="22"/>
      <c r="G301" s="22"/>
      <c r="H301" s="22"/>
      <c r="I301" s="22"/>
      <c r="J301" s="22"/>
      <c r="K301" s="22"/>
      <c r="L301" s="22"/>
      <c r="M301" s="22"/>
      <c r="N301" s="22"/>
      <c r="O301" s="22"/>
      <c r="P301" s="22"/>
    </row>
    <row r="302" spans="2:16" x14ac:dyDescent="0.25">
      <c r="B302" s="22"/>
      <c r="C302" s="22"/>
      <c r="D302" s="22"/>
      <c r="E302" s="22"/>
      <c r="F302" s="22"/>
      <c r="G302" s="22"/>
      <c r="H302" s="22"/>
      <c r="I302" s="22"/>
      <c r="J302" s="22"/>
      <c r="K302" s="22"/>
      <c r="L302" s="22"/>
      <c r="M302" s="22"/>
      <c r="N302" s="22"/>
      <c r="O302" s="22"/>
      <c r="P302" s="22"/>
    </row>
    <row r="303" spans="2:16" x14ac:dyDescent="0.25">
      <c r="B303" s="22"/>
      <c r="C303" s="22"/>
      <c r="D303" s="22"/>
      <c r="E303" s="22"/>
      <c r="F303" s="22"/>
      <c r="G303" s="22"/>
      <c r="H303" s="22"/>
      <c r="I303" s="22"/>
      <c r="J303" s="22"/>
      <c r="K303" s="22"/>
      <c r="L303" s="22"/>
      <c r="M303" s="22"/>
      <c r="N303" s="22"/>
      <c r="O303" s="22"/>
      <c r="P303" s="22"/>
    </row>
    <row r="304" spans="2:16" x14ac:dyDescent="0.25">
      <c r="B304" s="22"/>
      <c r="C304" s="22"/>
      <c r="D304" s="22"/>
      <c r="E304" s="22"/>
      <c r="F304" s="22"/>
      <c r="G304" s="22"/>
      <c r="H304" s="22"/>
      <c r="I304" s="22"/>
      <c r="J304" s="22"/>
      <c r="K304" s="22"/>
      <c r="L304" s="22"/>
      <c r="M304" s="22"/>
      <c r="N304" s="22"/>
      <c r="O304" s="22"/>
      <c r="P304" s="22"/>
    </row>
    <row r="305" spans="2:16" x14ac:dyDescent="0.25">
      <c r="B305" s="22"/>
      <c r="C305" s="22"/>
      <c r="D305" s="22"/>
      <c r="E305" s="22"/>
      <c r="F305" s="22"/>
      <c r="G305" s="22"/>
      <c r="H305" s="22"/>
      <c r="I305" s="22"/>
      <c r="J305" s="22"/>
      <c r="K305" s="22"/>
      <c r="L305" s="22"/>
      <c r="M305" s="22"/>
      <c r="N305" s="22"/>
      <c r="O305" s="22"/>
      <c r="P305" s="22"/>
    </row>
    <row r="306" spans="2:16" x14ac:dyDescent="0.25">
      <c r="B306" s="22"/>
      <c r="C306" s="22"/>
      <c r="D306" s="22"/>
      <c r="E306" s="22"/>
      <c r="F306" s="22"/>
      <c r="G306" s="22"/>
      <c r="H306" s="22"/>
      <c r="I306" s="22"/>
      <c r="J306" s="22"/>
      <c r="K306" s="22"/>
      <c r="L306" s="22"/>
      <c r="M306" s="22"/>
      <c r="N306" s="22"/>
      <c r="O306" s="22"/>
      <c r="P306" s="22"/>
    </row>
    <row r="307" spans="2:16" x14ac:dyDescent="0.25">
      <c r="B307" s="22"/>
      <c r="C307" s="22"/>
      <c r="D307" s="22"/>
      <c r="E307" s="22"/>
      <c r="F307" s="22"/>
      <c r="G307" s="22"/>
      <c r="H307" s="22"/>
      <c r="I307" s="22"/>
      <c r="J307" s="22"/>
      <c r="K307" s="22"/>
      <c r="L307" s="22"/>
      <c r="M307" s="22"/>
      <c r="N307" s="22"/>
      <c r="O307" s="22"/>
      <c r="P307" s="22"/>
    </row>
    <row r="308" spans="2:16" x14ac:dyDescent="0.25">
      <c r="B308" s="22"/>
      <c r="C308" s="22"/>
      <c r="D308" s="22"/>
      <c r="E308" s="22"/>
      <c r="F308" s="22"/>
      <c r="G308" s="22"/>
      <c r="H308" s="22"/>
      <c r="I308" s="22"/>
      <c r="J308" s="22"/>
      <c r="K308" s="22"/>
      <c r="L308" s="22"/>
      <c r="M308" s="22"/>
      <c r="N308" s="22"/>
      <c r="O308" s="22"/>
      <c r="P308" s="22"/>
    </row>
    <row r="309" spans="2:16" x14ac:dyDescent="0.25">
      <c r="B309" s="22"/>
      <c r="C309" s="22"/>
      <c r="D309" s="22"/>
      <c r="E309" s="22"/>
      <c r="F309" s="22"/>
      <c r="G309" s="22"/>
      <c r="H309" s="22"/>
      <c r="I309" s="22"/>
      <c r="J309" s="22"/>
      <c r="K309" s="22"/>
      <c r="L309" s="22"/>
      <c r="M309" s="22"/>
      <c r="N309" s="22"/>
      <c r="O309" s="22"/>
      <c r="P309" s="22"/>
    </row>
    <row r="310" spans="2:16" x14ac:dyDescent="0.25">
      <c r="B310" s="22"/>
      <c r="C310" s="22"/>
      <c r="D310" s="22"/>
      <c r="E310" s="22"/>
      <c r="F310" s="22"/>
      <c r="G310" s="22"/>
      <c r="H310" s="22"/>
      <c r="I310" s="22"/>
      <c r="J310" s="22"/>
      <c r="K310" s="22"/>
      <c r="L310" s="22"/>
      <c r="M310" s="22"/>
      <c r="N310" s="22"/>
      <c r="O310" s="22"/>
      <c r="P310" s="22"/>
    </row>
    <row r="311" spans="2:16" x14ac:dyDescent="0.25">
      <c r="B311" s="22"/>
      <c r="C311" s="22"/>
      <c r="D311" s="22"/>
      <c r="E311" s="22"/>
      <c r="F311" s="22"/>
      <c r="G311" s="22"/>
      <c r="H311" s="22"/>
      <c r="I311" s="22"/>
      <c r="J311" s="22"/>
      <c r="K311" s="22"/>
      <c r="L311" s="22"/>
      <c r="M311" s="22"/>
      <c r="N311" s="22"/>
      <c r="O311" s="22"/>
      <c r="P311" s="22"/>
    </row>
    <row r="312" spans="2:16" x14ac:dyDescent="0.25">
      <c r="B312" s="22"/>
      <c r="C312" s="22"/>
      <c r="D312" s="22"/>
      <c r="E312" s="22"/>
      <c r="F312" s="22"/>
      <c r="G312" s="22"/>
      <c r="H312" s="22"/>
      <c r="I312" s="22"/>
      <c r="J312" s="22"/>
      <c r="K312" s="22"/>
      <c r="L312" s="22"/>
      <c r="M312" s="22"/>
      <c r="N312" s="22"/>
      <c r="O312" s="22"/>
      <c r="P312" s="22"/>
    </row>
    <row r="313" spans="2:16" x14ac:dyDescent="0.25">
      <c r="B313" s="22"/>
      <c r="C313" s="22"/>
      <c r="D313" s="22"/>
      <c r="E313" s="22"/>
      <c r="F313" s="22"/>
      <c r="G313" s="22"/>
      <c r="H313" s="22"/>
      <c r="I313" s="22"/>
      <c r="J313" s="22"/>
      <c r="K313" s="22"/>
      <c r="L313" s="22"/>
      <c r="M313" s="22"/>
      <c r="N313" s="22"/>
      <c r="O313" s="22"/>
      <c r="P313" s="22"/>
    </row>
    <row r="314" spans="2:16" x14ac:dyDescent="0.25">
      <c r="B314" s="22"/>
      <c r="C314" s="22"/>
      <c r="D314" s="22"/>
      <c r="E314" s="22"/>
      <c r="F314" s="22"/>
      <c r="G314" s="22"/>
      <c r="H314" s="22"/>
      <c r="I314" s="22"/>
      <c r="J314" s="22"/>
      <c r="K314" s="22"/>
      <c r="L314" s="22"/>
      <c r="M314" s="22"/>
      <c r="N314" s="22"/>
      <c r="O314" s="22"/>
      <c r="P314" s="22"/>
    </row>
    <row r="315" spans="2:16" x14ac:dyDescent="0.25">
      <c r="B315" s="22"/>
      <c r="C315" s="22"/>
      <c r="D315" s="22"/>
      <c r="E315" s="22"/>
      <c r="F315" s="22"/>
      <c r="G315" s="22"/>
      <c r="H315" s="22"/>
      <c r="I315" s="22"/>
      <c r="J315" s="22"/>
      <c r="K315" s="22"/>
      <c r="L315" s="22"/>
      <c r="M315" s="22"/>
      <c r="N315" s="22"/>
      <c r="O315" s="22"/>
      <c r="P315" s="22"/>
    </row>
    <row r="316" spans="2:16" x14ac:dyDescent="0.25">
      <c r="B316" s="22"/>
      <c r="C316" s="22"/>
      <c r="D316" s="22"/>
      <c r="E316" s="22"/>
      <c r="F316" s="22"/>
      <c r="G316" s="22"/>
      <c r="H316" s="22"/>
      <c r="I316" s="22"/>
      <c r="J316" s="22"/>
      <c r="K316" s="22"/>
      <c r="L316" s="22"/>
      <c r="M316" s="22"/>
      <c r="N316" s="22"/>
      <c r="O316" s="22"/>
      <c r="P316" s="22"/>
    </row>
    <row r="317" spans="2:16" x14ac:dyDescent="0.25">
      <c r="B317" s="22"/>
      <c r="C317" s="22"/>
      <c r="D317" s="22"/>
      <c r="E317" s="22"/>
      <c r="F317" s="22"/>
      <c r="G317" s="22"/>
      <c r="H317" s="22"/>
      <c r="I317" s="22"/>
      <c r="J317" s="22"/>
      <c r="K317" s="22"/>
      <c r="L317" s="22"/>
      <c r="M317" s="22"/>
      <c r="N317" s="22"/>
      <c r="O317" s="22"/>
      <c r="P317" s="22"/>
    </row>
    <row r="318" spans="2:16" x14ac:dyDescent="0.25">
      <c r="B318" s="22"/>
      <c r="C318" s="22"/>
      <c r="D318" s="22"/>
      <c r="E318" s="22"/>
      <c r="F318" s="22"/>
      <c r="G318" s="22"/>
      <c r="H318" s="22"/>
      <c r="I318" s="22"/>
      <c r="J318" s="22"/>
      <c r="K318" s="22"/>
      <c r="L318" s="22"/>
      <c r="M318" s="22"/>
      <c r="N318" s="22"/>
      <c r="O318" s="22"/>
      <c r="P318" s="22"/>
    </row>
    <row r="319" spans="2:16" x14ac:dyDescent="0.25">
      <c r="B319" s="22"/>
      <c r="C319" s="22"/>
      <c r="D319" s="22"/>
      <c r="E319" s="22"/>
      <c r="F319" s="22"/>
      <c r="G319" s="22"/>
      <c r="H319" s="22"/>
      <c r="I319" s="22"/>
      <c r="J319" s="22"/>
      <c r="K319" s="22"/>
      <c r="L319" s="22"/>
      <c r="M319" s="22"/>
      <c r="N319" s="22"/>
      <c r="O319" s="22"/>
      <c r="P319" s="22"/>
    </row>
    <row r="320" spans="2:16" x14ac:dyDescent="0.25">
      <c r="B320" s="22"/>
      <c r="C320" s="22"/>
      <c r="D320" s="22"/>
      <c r="E320" s="22"/>
      <c r="F320" s="22"/>
      <c r="G320" s="22"/>
      <c r="H320" s="22"/>
      <c r="I320" s="22"/>
      <c r="J320" s="22"/>
      <c r="K320" s="22"/>
      <c r="L320" s="22"/>
      <c r="M320" s="22"/>
      <c r="N320" s="22"/>
      <c r="O320" s="22"/>
      <c r="P320" s="22"/>
    </row>
    <row r="321" spans="2:16" x14ac:dyDescent="0.25">
      <c r="B321" s="22"/>
      <c r="C321" s="22"/>
      <c r="D321" s="22"/>
      <c r="E321" s="22"/>
      <c r="F321" s="22"/>
      <c r="G321" s="22"/>
      <c r="H321" s="22"/>
      <c r="I321" s="22"/>
      <c r="J321" s="22"/>
      <c r="K321" s="22"/>
      <c r="L321" s="22"/>
      <c r="M321" s="22"/>
      <c r="N321" s="22"/>
      <c r="O321" s="22"/>
      <c r="P321" s="22"/>
    </row>
    <row r="322" spans="2:16" x14ac:dyDescent="0.25">
      <c r="B322" s="22"/>
      <c r="C322" s="22"/>
      <c r="D322" s="22"/>
      <c r="E322" s="22"/>
      <c r="F322" s="22"/>
      <c r="G322" s="22"/>
      <c r="H322" s="22"/>
      <c r="I322" s="22"/>
      <c r="J322" s="22"/>
      <c r="K322" s="22"/>
      <c r="L322" s="22"/>
      <c r="M322" s="22"/>
      <c r="N322" s="22"/>
      <c r="O322" s="22"/>
      <c r="P322" s="22"/>
    </row>
    <row r="323" spans="2:16" x14ac:dyDescent="0.25">
      <c r="B323" s="22"/>
      <c r="C323" s="22"/>
      <c r="D323" s="22"/>
      <c r="E323" s="22"/>
      <c r="F323" s="22"/>
      <c r="G323" s="22"/>
      <c r="H323" s="22"/>
      <c r="I323" s="22"/>
      <c r="J323" s="22"/>
      <c r="K323" s="22"/>
      <c r="L323" s="22"/>
      <c r="M323" s="22"/>
      <c r="N323" s="22"/>
      <c r="O323" s="22"/>
      <c r="P323" s="22"/>
    </row>
    <row r="324" spans="2:16" x14ac:dyDescent="0.25">
      <c r="B324" s="22"/>
      <c r="C324" s="22"/>
      <c r="D324" s="22"/>
      <c r="E324" s="22"/>
      <c r="F324" s="22"/>
      <c r="G324" s="22"/>
      <c r="H324" s="22"/>
      <c r="I324" s="22"/>
      <c r="J324" s="22"/>
      <c r="K324" s="22"/>
      <c r="L324" s="22"/>
      <c r="M324" s="22"/>
      <c r="N324" s="22"/>
      <c r="O324" s="22"/>
      <c r="P324" s="22"/>
    </row>
    <row r="325" spans="2:16" x14ac:dyDescent="0.25">
      <c r="B325" s="22"/>
      <c r="C325" s="22"/>
      <c r="D325" s="22"/>
      <c r="E325" s="22"/>
      <c r="F325" s="22"/>
      <c r="G325" s="22"/>
      <c r="H325" s="22"/>
      <c r="I325" s="22"/>
      <c r="J325" s="22"/>
      <c r="K325" s="22"/>
      <c r="L325" s="22"/>
      <c r="M325" s="22"/>
      <c r="N325" s="22"/>
      <c r="O325" s="22"/>
      <c r="P325" s="22"/>
    </row>
    <row r="326" spans="2:16" x14ac:dyDescent="0.25">
      <c r="B326" s="22"/>
      <c r="C326" s="22"/>
      <c r="D326" s="22"/>
      <c r="E326" s="22"/>
      <c r="F326" s="22"/>
      <c r="G326" s="22"/>
      <c r="H326" s="22"/>
      <c r="I326" s="22"/>
      <c r="J326" s="22"/>
      <c r="K326" s="22"/>
      <c r="L326" s="22"/>
      <c r="M326" s="22"/>
      <c r="N326" s="22"/>
      <c r="O326" s="22"/>
      <c r="P326" s="22"/>
    </row>
    <row r="327" spans="2:16" x14ac:dyDescent="0.25">
      <c r="B327" s="22"/>
      <c r="C327" s="22"/>
      <c r="D327" s="22"/>
      <c r="E327" s="22"/>
      <c r="F327" s="22"/>
      <c r="G327" s="22"/>
      <c r="H327" s="22"/>
      <c r="I327" s="22"/>
      <c r="J327" s="22"/>
      <c r="K327" s="22"/>
      <c r="L327" s="22"/>
      <c r="M327" s="22"/>
      <c r="N327" s="22"/>
      <c r="O327" s="22"/>
      <c r="P327" s="22"/>
    </row>
    <row r="328" spans="2:16" x14ac:dyDescent="0.25">
      <c r="B328" s="22"/>
      <c r="C328" s="22"/>
      <c r="D328" s="22"/>
      <c r="E328" s="22"/>
      <c r="F328" s="22"/>
      <c r="G328" s="22"/>
      <c r="H328" s="22"/>
      <c r="I328" s="22"/>
      <c r="J328" s="22"/>
      <c r="K328" s="22"/>
      <c r="L328" s="22"/>
      <c r="M328" s="22"/>
      <c r="N328" s="22"/>
      <c r="O328" s="22"/>
      <c r="P328" s="22"/>
    </row>
    <row r="329" spans="2:16" x14ac:dyDescent="0.25">
      <c r="B329" s="22"/>
      <c r="C329" s="22"/>
      <c r="D329" s="22"/>
      <c r="E329" s="22"/>
      <c r="F329" s="22"/>
      <c r="G329" s="22"/>
      <c r="H329" s="22"/>
      <c r="I329" s="22"/>
      <c r="J329" s="22"/>
      <c r="K329" s="22"/>
      <c r="L329" s="22"/>
      <c r="M329" s="22"/>
      <c r="N329" s="22"/>
      <c r="O329" s="22"/>
      <c r="P329" s="22"/>
    </row>
    <row r="330" spans="2:16" x14ac:dyDescent="0.25">
      <c r="B330" s="22"/>
      <c r="C330" s="22"/>
      <c r="D330" s="22"/>
      <c r="E330" s="22"/>
      <c r="F330" s="22"/>
      <c r="G330" s="22"/>
      <c r="H330" s="22"/>
      <c r="I330" s="22"/>
      <c r="J330" s="22"/>
      <c r="K330" s="22"/>
      <c r="L330" s="22"/>
      <c r="M330" s="22"/>
      <c r="N330" s="22"/>
      <c r="O330" s="22"/>
      <c r="P330" s="22"/>
    </row>
    <row r="331" spans="2:16" x14ac:dyDescent="0.25">
      <c r="B331" s="22"/>
      <c r="C331" s="22"/>
      <c r="D331" s="22"/>
      <c r="E331" s="22"/>
      <c r="F331" s="22"/>
      <c r="G331" s="22"/>
      <c r="H331" s="22"/>
      <c r="I331" s="22"/>
      <c r="J331" s="22"/>
      <c r="K331" s="22"/>
      <c r="L331" s="22"/>
      <c r="M331" s="22"/>
      <c r="N331" s="22"/>
      <c r="O331" s="22"/>
      <c r="P331" s="22"/>
    </row>
    <row r="332" spans="2:16" x14ac:dyDescent="0.25">
      <c r="B332" s="22"/>
      <c r="C332" s="22"/>
      <c r="D332" s="22"/>
      <c r="E332" s="22"/>
      <c r="F332" s="22"/>
      <c r="G332" s="22"/>
      <c r="H332" s="22"/>
      <c r="I332" s="22"/>
      <c r="J332" s="22"/>
      <c r="K332" s="22"/>
      <c r="L332" s="22"/>
      <c r="M332" s="22"/>
      <c r="N332" s="22"/>
      <c r="O332" s="22"/>
      <c r="P332" s="22"/>
    </row>
    <row r="333" spans="2:16" x14ac:dyDescent="0.25">
      <c r="B333" s="22"/>
      <c r="C333" s="22"/>
      <c r="D333" s="22"/>
      <c r="E333" s="22"/>
      <c r="F333" s="22"/>
      <c r="G333" s="22"/>
      <c r="H333" s="22"/>
      <c r="I333" s="22"/>
      <c r="J333" s="22"/>
      <c r="K333" s="22"/>
      <c r="L333" s="22"/>
      <c r="M333" s="22"/>
      <c r="N333" s="22"/>
      <c r="O333" s="22"/>
      <c r="P333" s="22"/>
    </row>
    <row r="334" spans="2:16" x14ac:dyDescent="0.25">
      <c r="B334" s="22"/>
      <c r="C334" s="22"/>
      <c r="D334" s="22"/>
      <c r="E334" s="22"/>
      <c r="F334" s="22"/>
      <c r="G334" s="22"/>
      <c r="H334" s="22"/>
      <c r="I334" s="22"/>
      <c r="J334" s="22"/>
      <c r="K334" s="22"/>
      <c r="L334" s="22"/>
      <c r="M334" s="22"/>
      <c r="N334" s="22"/>
      <c r="O334" s="22"/>
      <c r="P334" s="22"/>
    </row>
    <row r="335" spans="2:16" x14ac:dyDescent="0.25">
      <c r="B335" s="22"/>
      <c r="C335" s="22"/>
      <c r="D335" s="22"/>
      <c r="E335" s="22"/>
      <c r="F335" s="22"/>
      <c r="G335" s="22"/>
      <c r="H335" s="22"/>
      <c r="I335" s="22"/>
      <c r="J335" s="22"/>
      <c r="K335" s="22"/>
      <c r="L335" s="22"/>
      <c r="M335" s="22"/>
      <c r="N335" s="22"/>
      <c r="O335" s="22"/>
      <c r="P335" s="22"/>
    </row>
    <row r="336" spans="2:16" x14ac:dyDescent="0.25">
      <c r="B336" s="22"/>
      <c r="C336" s="22"/>
      <c r="D336" s="22"/>
      <c r="E336" s="22"/>
      <c r="F336" s="22"/>
      <c r="G336" s="22"/>
      <c r="H336" s="22"/>
      <c r="I336" s="22"/>
      <c r="J336" s="22"/>
      <c r="K336" s="22"/>
      <c r="L336" s="22"/>
      <c r="M336" s="22"/>
      <c r="N336" s="22"/>
      <c r="O336" s="22"/>
      <c r="P336" s="22"/>
    </row>
    <row r="337" spans="2:16" x14ac:dyDescent="0.25">
      <c r="B337" s="22"/>
      <c r="C337" s="22"/>
      <c r="D337" s="22"/>
      <c r="E337" s="22"/>
      <c r="F337" s="22"/>
      <c r="G337" s="22"/>
      <c r="H337" s="22"/>
      <c r="I337" s="22"/>
      <c r="J337" s="22"/>
      <c r="K337" s="22"/>
      <c r="L337" s="22"/>
      <c r="M337" s="22"/>
      <c r="N337" s="22"/>
      <c r="O337" s="22"/>
      <c r="P337" s="22"/>
    </row>
    <row r="338" spans="2:16" x14ac:dyDescent="0.25">
      <c r="B338" s="22"/>
      <c r="C338" s="22"/>
      <c r="D338" s="22"/>
      <c r="E338" s="22"/>
      <c r="F338" s="22"/>
      <c r="G338" s="22"/>
      <c r="H338" s="22"/>
      <c r="I338" s="22"/>
      <c r="J338" s="22"/>
      <c r="K338" s="22"/>
      <c r="L338" s="22"/>
      <c r="M338" s="22"/>
      <c r="N338" s="22"/>
      <c r="O338" s="22"/>
      <c r="P338" s="22"/>
    </row>
    <row r="339" spans="2:16" x14ac:dyDescent="0.25">
      <c r="B339" s="22"/>
      <c r="C339" s="22"/>
      <c r="D339" s="22"/>
      <c r="E339" s="22"/>
      <c r="F339" s="22"/>
      <c r="G339" s="22"/>
      <c r="H339" s="22"/>
      <c r="I339" s="22"/>
      <c r="J339" s="22"/>
      <c r="K339" s="22"/>
      <c r="L339" s="22"/>
      <c r="M339" s="22"/>
      <c r="N339" s="22"/>
      <c r="O339" s="22"/>
      <c r="P339" s="22"/>
    </row>
    <row r="340" spans="2:16" x14ac:dyDescent="0.25">
      <c r="B340" s="22"/>
      <c r="C340" s="22"/>
      <c r="D340" s="22"/>
      <c r="E340" s="22"/>
      <c r="F340" s="22"/>
      <c r="G340" s="22"/>
      <c r="H340" s="22"/>
      <c r="I340" s="22"/>
      <c r="J340" s="22"/>
      <c r="K340" s="22"/>
      <c r="L340" s="22"/>
      <c r="M340" s="22"/>
      <c r="N340" s="22"/>
      <c r="O340" s="22"/>
      <c r="P340" s="22"/>
    </row>
    <row r="341" spans="2:16" x14ac:dyDescent="0.25">
      <c r="B341" s="22"/>
      <c r="C341" s="22"/>
      <c r="D341" s="22"/>
      <c r="E341" s="22"/>
      <c r="F341" s="22"/>
      <c r="G341" s="22"/>
      <c r="H341" s="22"/>
      <c r="I341" s="22"/>
      <c r="J341" s="22"/>
      <c r="K341" s="22"/>
      <c r="L341" s="22"/>
      <c r="M341" s="22"/>
      <c r="N341" s="22"/>
      <c r="O341" s="22"/>
      <c r="P341" s="22"/>
    </row>
    <row r="342" spans="2:16" x14ac:dyDescent="0.25">
      <c r="B342" s="22"/>
      <c r="C342" s="22"/>
      <c r="D342" s="22"/>
      <c r="E342" s="22"/>
      <c r="F342" s="22"/>
      <c r="G342" s="22"/>
      <c r="H342" s="22"/>
      <c r="I342" s="22"/>
      <c r="J342" s="22"/>
      <c r="K342" s="22"/>
      <c r="L342" s="22"/>
      <c r="M342" s="22"/>
      <c r="N342" s="22"/>
      <c r="O342" s="22"/>
      <c r="P342" s="22"/>
    </row>
    <row r="343" spans="2:16" x14ac:dyDescent="0.25">
      <c r="B343" s="22"/>
      <c r="C343" s="22"/>
      <c r="D343" s="22"/>
      <c r="E343" s="22"/>
      <c r="F343" s="22"/>
      <c r="G343" s="22"/>
      <c r="H343" s="22"/>
      <c r="I343" s="22"/>
      <c r="J343" s="22"/>
      <c r="K343" s="22"/>
      <c r="L343" s="22"/>
      <c r="M343" s="22"/>
      <c r="N343" s="22"/>
      <c r="O343" s="22"/>
      <c r="P343" s="22"/>
    </row>
    <row r="344" spans="2:16" x14ac:dyDescent="0.25">
      <c r="B344" s="22"/>
      <c r="C344" s="22"/>
      <c r="D344" s="22"/>
      <c r="E344" s="22"/>
      <c r="F344" s="22"/>
      <c r="G344" s="22"/>
      <c r="H344" s="22"/>
      <c r="I344" s="22"/>
      <c r="J344" s="22"/>
      <c r="K344" s="22"/>
      <c r="L344" s="22"/>
      <c r="M344" s="22"/>
      <c r="N344" s="22"/>
      <c r="O344" s="22"/>
      <c r="P344" s="22"/>
    </row>
    <row r="345" spans="2:16" x14ac:dyDescent="0.25">
      <c r="B345" s="22"/>
      <c r="C345" s="22"/>
      <c r="D345" s="22"/>
      <c r="E345" s="22"/>
      <c r="F345" s="22"/>
      <c r="G345" s="22"/>
      <c r="H345" s="22"/>
      <c r="I345" s="22"/>
      <c r="J345" s="22"/>
      <c r="K345" s="22"/>
      <c r="L345" s="22"/>
      <c r="M345" s="22"/>
      <c r="N345" s="22"/>
      <c r="O345" s="22"/>
      <c r="P345" s="22"/>
    </row>
    <row r="346" spans="2:16" x14ac:dyDescent="0.25">
      <c r="B346" s="22"/>
      <c r="C346" s="22"/>
      <c r="D346" s="22"/>
      <c r="E346" s="22"/>
      <c r="F346" s="22"/>
      <c r="G346" s="22"/>
      <c r="H346" s="22"/>
      <c r="I346" s="22"/>
      <c r="J346" s="22"/>
      <c r="K346" s="22"/>
      <c r="L346" s="22"/>
      <c r="M346" s="22"/>
      <c r="N346" s="22"/>
      <c r="O346" s="22"/>
      <c r="P346" s="22"/>
    </row>
    <row r="347" spans="2:16" x14ac:dyDescent="0.25">
      <c r="B347" s="22"/>
      <c r="C347" s="22"/>
      <c r="D347" s="22"/>
      <c r="E347" s="22"/>
      <c r="F347" s="22"/>
      <c r="G347" s="22"/>
      <c r="H347" s="22"/>
      <c r="I347" s="22"/>
      <c r="J347" s="22"/>
      <c r="K347" s="22"/>
      <c r="L347" s="22"/>
      <c r="M347" s="22"/>
      <c r="N347" s="22"/>
      <c r="O347" s="22"/>
      <c r="P347" s="22"/>
    </row>
    <row r="348" spans="2:16" x14ac:dyDescent="0.25">
      <c r="B348" s="22"/>
      <c r="C348" s="22"/>
      <c r="D348" s="22"/>
      <c r="E348" s="22"/>
      <c r="F348" s="22"/>
      <c r="G348" s="22"/>
      <c r="H348" s="22"/>
      <c r="I348" s="22"/>
      <c r="J348" s="22"/>
      <c r="K348" s="22"/>
      <c r="L348" s="22"/>
      <c r="M348" s="22"/>
      <c r="N348" s="22"/>
      <c r="O348" s="22"/>
      <c r="P348" s="22"/>
    </row>
    <row r="349" spans="2:16" x14ac:dyDescent="0.25">
      <c r="B349" s="22"/>
      <c r="C349" s="22"/>
      <c r="D349" s="22"/>
      <c r="E349" s="22"/>
      <c r="F349" s="22"/>
      <c r="G349" s="22"/>
      <c r="H349" s="22"/>
      <c r="I349" s="22"/>
      <c r="J349" s="22"/>
      <c r="K349" s="22"/>
      <c r="L349" s="22"/>
      <c r="M349" s="22"/>
      <c r="N349" s="22"/>
      <c r="O349" s="22"/>
      <c r="P349" s="22"/>
    </row>
    <row r="350" spans="2:16" x14ac:dyDescent="0.25">
      <c r="B350" s="22"/>
      <c r="C350" s="22"/>
      <c r="D350" s="22"/>
      <c r="E350" s="22"/>
      <c r="F350" s="22"/>
      <c r="G350" s="22"/>
      <c r="H350" s="22"/>
      <c r="I350" s="22"/>
      <c r="J350" s="22"/>
      <c r="K350" s="22"/>
      <c r="L350" s="22"/>
      <c r="M350" s="22"/>
      <c r="N350" s="22"/>
      <c r="O350" s="22"/>
      <c r="P350" s="22"/>
    </row>
    <row r="351" spans="2:16" x14ac:dyDescent="0.25">
      <c r="B351" s="22"/>
      <c r="C351" s="22"/>
      <c r="D351" s="22"/>
      <c r="E351" s="22"/>
      <c r="F351" s="22"/>
      <c r="G351" s="22"/>
      <c r="H351" s="22"/>
      <c r="I351" s="22"/>
      <c r="J351" s="22"/>
      <c r="K351" s="22"/>
      <c r="L351" s="22"/>
      <c r="M351" s="22"/>
      <c r="N351" s="22"/>
      <c r="O351" s="22"/>
      <c r="P351" s="22"/>
    </row>
    <row r="352" spans="2:16" x14ac:dyDescent="0.25">
      <c r="B352" s="22"/>
      <c r="C352" s="22"/>
      <c r="D352" s="22"/>
      <c r="E352" s="22"/>
      <c r="F352" s="22"/>
      <c r="G352" s="22"/>
      <c r="H352" s="22"/>
      <c r="I352" s="22"/>
      <c r="J352" s="22"/>
      <c r="K352" s="22"/>
      <c r="L352" s="22"/>
      <c r="M352" s="22"/>
      <c r="N352" s="22"/>
      <c r="O352" s="22"/>
      <c r="P352" s="22"/>
    </row>
    <row r="353" spans="2:16" x14ac:dyDescent="0.25">
      <c r="B353" s="22"/>
      <c r="C353" s="22"/>
      <c r="D353" s="22"/>
      <c r="E353" s="22"/>
      <c r="F353" s="22"/>
      <c r="G353" s="22"/>
      <c r="H353" s="22"/>
      <c r="I353" s="22"/>
      <c r="J353" s="22"/>
      <c r="K353" s="22"/>
      <c r="L353" s="22"/>
      <c r="M353" s="22"/>
      <c r="N353" s="22"/>
      <c r="O353" s="22"/>
      <c r="P353" s="22"/>
    </row>
    <row r="354" spans="2:16" x14ac:dyDescent="0.25">
      <c r="B354" s="22"/>
      <c r="C354" s="22"/>
      <c r="D354" s="22"/>
      <c r="E354" s="22"/>
      <c r="F354" s="22"/>
      <c r="G354" s="22"/>
      <c r="H354" s="22"/>
      <c r="I354" s="22"/>
      <c r="J354" s="22"/>
      <c r="K354" s="22"/>
      <c r="L354" s="22"/>
      <c r="M354" s="22"/>
      <c r="N354" s="22"/>
      <c r="O354" s="22"/>
      <c r="P354" s="22"/>
    </row>
    <row r="355" spans="2:16" x14ac:dyDescent="0.25">
      <c r="B355" s="22"/>
      <c r="C355" s="22"/>
      <c r="D355" s="22"/>
      <c r="E355" s="22"/>
      <c r="F355" s="22"/>
      <c r="G355" s="22"/>
      <c r="H355" s="22"/>
      <c r="I355" s="22"/>
      <c r="J355" s="22"/>
      <c r="K355" s="22"/>
      <c r="L355" s="22"/>
      <c r="M355" s="22"/>
      <c r="N355" s="22"/>
      <c r="O355" s="22"/>
      <c r="P355" s="22"/>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17">
    <mergeCell ref="A156:I156"/>
    <mergeCell ref="B1:E1"/>
    <mergeCell ref="F1:I1"/>
    <mergeCell ref="A153:I153"/>
    <mergeCell ref="A154:I154"/>
    <mergeCell ref="A155:I155"/>
    <mergeCell ref="A167:I167"/>
    <mergeCell ref="A157:I157"/>
    <mergeCell ref="A158:I158"/>
    <mergeCell ref="A159:I159"/>
    <mergeCell ref="A160:I160"/>
    <mergeCell ref="A161:I161"/>
    <mergeCell ref="A162:I162"/>
    <mergeCell ref="A166:I166"/>
    <mergeCell ref="A163:I163"/>
    <mergeCell ref="A164:I164"/>
    <mergeCell ref="A165:I165"/>
  </mergeCells>
  <phoneticPr fontId="0" type="noConversion"/>
  <pageMargins left="0.23622047244094488" right="0.23622047244094488" top="0.74803149606299213" bottom="0.74803149606299213" header="0.31496062992125984" footer="0.31496062992125984"/>
  <pageSetup paperSize="9" scale="87" orientation="landscape" verticalDpi="300" r:id="rId3"/>
  <headerFooter>
    <oddFooter>&amp;LEuropeAid/162922/DD/ACT/Multi&amp;R&amp;"Times New Roman,Normal"&amp;9&amp;P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5"/>
  <sheetViews>
    <sheetView showWhiteSpace="0" view="pageLayout" zoomScale="84" zoomScaleNormal="100" zoomScalePageLayoutView="84" workbookViewId="0">
      <selection activeCell="B97" sqref="B97"/>
    </sheetView>
  </sheetViews>
  <sheetFormatPr baseColWidth="10" defaultColWidth="8.88671875" defaultRowHeight="13.2" x14ac:dyDescent="0.25"/>
  <cols>
    <col min="1" max="1" width="50.6640625" style="22" customWidth="1"/>
    <col min="2" max="2" width="35.44140625" customWidth="1"/>
    <col min="3" max="3" width="41.5546875" customWidth="1"/>
    <col min="4" max="4" width="15.5546875" customWidth="1"/>
  </cols>
  <sheetData>
    <row r="1" spans="1:3" ht="16.2" thickBot="1" x14ac:dyDescent="0.35">
      <c r="A1" s="72" t="s">
        <v>49</v>
      </c>
      <c r="B1" s="218" t="s">
        <v>50</v>
      </c>
      <c r="C1" s="219"/>
    </row>
    <row r="2" spans="1:3" s="30" customFormat="1" ht="12.75" customHeight="1" x14ac:dyDescent="0.25">
      <c r="A2" s="63" t="s">
        <v>51</v>
      </c>
      <c r="B2" s="8" t="s">
        <v>52</v>
      </c>
      <c r="C2" s="8" t="s">
        <v>53</v>
      </c>
    </row>
    <row r="3" spans="1:3" s="30" customFormat="1" ht="79.2" x14ac:dyDescent="0.25">
      <c r="A3" s="64"/>
      <c r="B3" s="62" t="s">
        <v>54</v>
      </c>
      <c r="C3" s="62" t="s">
        <v>55</v>
      </c>
    </row>
    <row r="4" spans="1:3" x14ac:dyDescent="0.25">
      <c r="A4" s="23" t="s">
        <v>56</v>
      </c>
      <c r="B4" s="4"/>
      <c r="C4" s="1"/>
    </row>
    <row r="5" spans="1:3" ht="26.4" x14ac:dyDescent="0.25">
      <c r="A5" s="21" t="s">
        <v>57</v>
      </c>
      <c r="B5" s="5"/>
      <c r="C5" s="2"/>
    </row>
    <row r="6" spans="1:3" x14ac:dyDescent="0.25">
      <c r="A6" s="23" t="s">
        <v>98</v>
      </c>
      <c r="B6" s="5"/>
      <c r="C6" s="2"/>
    </row>
    <row r="7" spans="1:3" ht="65.25" customHeight="1" x14ac:dyDescent="0.25">
      <c r="A7" s="192" t="s">
        <v>340</v>
      </c>
      <c r="B7" s="142" t="s">
        <v>348</v>
      </c>
      <c r="C7" s="135" t="s">
        <v>102</v>
      </c>
    </row>
    <row r="8" spans="1:3" ht="66" customHeight="1" x14ac:dyDescent="0.25">
      <c r="A8" s="193" t="s">
        <v>277</v>
      </c>
      <c r="B8" s="142" t="s">
        <v>278</v>
      </c>
      <c r="C8" s="135" t="s">
        <v>102</v>
      </c>
    </row>
    <row r="9" spans="1:3" ht="64.5" customHeight="1" x14ac:dyDescent="0.25">
      <c r="A9" s="193" t="s">
        <v>341</v>
      </c>
      <c r="B9" s="142" t="s">
        <v>350</v>
      </c>
      <c r="C9" s="135" t="s">
        <v>102</v>
      </c>
    </row>
    <row r="10" spans="1:3" ht="66" x14ac:dyDescent="0.25">
      <c r="A10" s="192" t="s">
        <v>272</v>
      </c>
      <c r="B10" s="142" t="s">
        <v>103</v>
      </c>
      <c r="C10" s="135" t="s">
        <v>102</v>
      </c>
    </row>
    <row r="11" spans="1:3" ht="66" x14ac:dyDescent="0.25">
      <c r="A11" s="192" t="s">
        <v>342</v>
      </c>
      <c r="B11" s="142" t="s">
        <v>351</v>
      </c>
      <c r="C11" s="144" t="s">
        <v>105</v>
      </c>
    </row>
    <row r="12" spans="1:3" ht="66" x14ac:dyDescent="0.25">
      <c r="A12" s="192" t="s">
        <v>343</v>
      </c>
      <c r="B12" s="142" t="s">
        <v>352</v>
      </c>
      <c r="C12" s="144" t="s">
        <v>105</v>
      </c>
    </row>
    <row r="13" spans="1:3" ht="66" x14ac:dyDescent="0.25">
      <c r="A13" s="192" t="s">
        <v>344</v>
      </c>
      <c r="B13" s="142" t="s">
        <v>352</v>
      </c>
      <c r="C13" s="144" t="s">
        <v>105</v>
      </c>
    </row>
    <row r="14" spans="1:3" ht="66" x14ac:dyDescent="0.25">
      <c r="A14" s="192" t="s">
        <v>345</v>
      </c>
      <c r="B14" s="142" t="s">
        <v>351</v>
      </c>
      <c r="C14" s="144" t="s">
        <v>104</v>
      </c>
    </row>
    <row r="15" spans="1:3" ht="66" x14ac:dyDescent="0.25">
      <c r="A15" s="192" t="s">
        <v>346</v>
      </c>
      <c r="B15" s="142" t="s">
        <v>352</v>
      </c>
      <c r="C15" s="144" t="s">
        <v>105</v>
      </c>
    </row>
    <row r="16" spans="1:3" ht="66" x14ac:dyDescent="0.25">
      <c r="A16" s="192" t="s">
        <v>347</v>
      </c>
      <c r="B16" s="142" t="s">
        <v>352</v>
      </c>
      <c r="C16" s="144" t="s">
        <v>105</v>
      </c>
    </row>
    <row r="17" spans="1:3" x14ac:dyDescent="0.25">
      <c r="A17" s="194" t="s">
        <v>99</v>
      </c>
      <c r="B17" s="5"/>
      <c r="C17" s="2"/>
    </row>
    <row r="18" spans="1:3" ht="79.2" x14ac:dyDescent="0.25">
      <c r="A18" s="195" t="s">
        <v>353</v>
      </c>
      <c r="B18" s="142" t="s">
        <v>356</v>
      </c>
      <c r="C18" s="135" t="s">
        <v>102</v>
      </c>
    </row>
    <row r="19" spans="1:3" ht="39.6" x14ac:dyDescent="0.25">
      <c r="A19" s="192" t="s">
        <v>274</v>
      </c>
      <c r="B19" s="142" t="s">
        <v>279</v>
      </c>
      <c r="C19" s="135" t="s">
        <v>102</v>
      </c>
    </row>
    <row r="20" spans="1:3" ht="79.2" x14ac:dyDescent="0.25">
      <c r="A20" s="195" t="s">
        <v>354</v>
      </c>
      <c r="B20" s="142" t="s">
        <v>357</v>
      </c>
      <c r="C20" s="144" t="s">
        <v>104</v>
      </c>
    </row>
    <row r="21" spans="1:3" ht="79.2" x14ac:dyDescent="0.25">
      <c r="A21" s="195" t="s">
        <v>355</v>
      </c>
      <c r="B21" s="142" t="s">
        <v>358</v>
      </c>
      <c r="C21" s="144" t="s">
        <v>105</v>
      </c>
    </row>
    <row r="22" spans="1:3" ht="52.8" x14ac:dyDescent="0.25">
      <c r="A22" s="194" t="s">
        <v>273</v>
      </c>
      <c r="B22" s="5"/>
      <c r="C22" s="2"/>
    </row>
    <row r="23" spans="1:3" x14ac:dyDescent="0.25">
      <c r="A23" s="194" t="s">
        <v>150</v>
      </c>
      <c r="B23" s="5"/>
      <c r="C23" s="2"/>
    </row>
    <row r="24" spans="1:3" x14ac:dyDescent="0.25">
      <c r="A24" s="194" t="s">
        <v>107</v>
      </c>
      <c r="B24" s="5"/>
      <c r="C24" s="2"/>
    </row>
    <row r="25" spans="1:3" x14ac:dyDescent="0.25">
      <c r="A25" s="194" t="s">
        <v>106</v>
      </c>
      <c r="B25" s="5"/>
      <c r="C25" s="2"/>
    </row>
    <row r="26" spans="1:3" ht="52.8" x14ac:dyDescent="0.25">
      <c r="A26" s="195" t="s">
        <v>359</v>
      </c>
      <c r="B26" s="148" t="s">
        <v>108</v>
      </c>
      <c r="C26" s="147" t="s">
        <v>361</v>
      </c>
    </row>
    <row r="27" spans="1:3" ht="52.8" x14ac:dyDescent="0.25">
      <c r="A27" s="196" t="s">
        <v>360</v>
      </c>
      <c r="B27" s="148" t="s">
        <v>109</v>
      </c>
      <c r="C27" s="147" t="s">
        <v>362</v>
      </c>
    </row>
    <row r="28" spans="1:3" ht="52.8" x14ac:dyDescent="0.25">
      <c r="A28" s="196" t="s">
        <v>280</v>
      </c>
      <c r="B28" s="148" t="s">
        <v>110</v>
      </c>
      <c r="C28" s="147" t="s">
        <v>281</v>
      </c>
    </row>
    <row r="29" spans="1:3" x14ac:dyDescent="0.25">
      <c r="A29" s="194" t="s">
        <v>156</v>
      </c>
      <c r="B29" s="5"/>
      <c r="C29" s="2"/>
    </row>
    <row r="30" spans="1:3" x14ac:dyDescent="0.25">
      <c r="A30" s="197" t="s">
        <v>58</v>
      </c>
      <c r="B30" s="11"/>
      <c r="C30" s="12"/>
    </row>
    <row r="31" spans="1:3" x14ac:dyDescent="0.25">
      <c r="A31" s="194" t="s">
        <v>59</v>
      </c>
      <c r="B31" s="4"/>
      <c r="C31" s="1"/>
    </row>
    <row r="32" spans="1:3" x14ac:dyDescent="0.25">
      <c r="A32" s="194" t="s">
        <v>155</v>
      </c>
      <c r="B32" s="13"/>
      <c r="C32" s="7"/>
    </row>
    <row r="33" spans="1:3" x14ac:dyDescent="0.25">
      <c r="A33" s="194" t="s">
        <v>154</v>
      </c>
      <c r="B33" s="13"/>
      <c r="C33" s="7"/>
    </row>
    <row r="34" spans="1:3" x14ac:dyDescent="0.25">
      <c r="A34" s="197" t="s">
        <v>60</v>
      </c>
      <c r="B34" s="11"/>
      <c r="C34" s="12"/>
    </row>
    <row r="35" spans="1:3" x14ac:dyDescent="0.25">
      <c r="A35" s="194" t="s">
        <v>61</v>
      </c>
      <c r="B35" s="4"/>
      <c r="C35" s="1"/>
    </row>
    <row r="36" spans="1:3" x14ac:dyDescent="0.25">
      <c r="A36" s="194" t="s">
        <v>111</v>
      </c>
      <c r="B36" s="13"/>
      <c r="C36" s="7"/>
    </row>
    <row r="37" spans="1:3" ht="19.5" customHeight="1" x14ac:dyDescent="0.25">
      <c r="A37" s="196" t="s">
        <v>113</v>
      </c>
      <c r="B37" s="216" t="s">
        <v>116</v>
      </c>
      <c r="C37" s="186" t="s">
        <v>117</v>
      </c>
    </row>
    <row r="38" spans="1:3" ht="14.25" customHeight="1" x14ac:dyDescent="0.25">
      <c r="A38" s="196" t="s">
        <v>114</v>
      </c>
      <c r="B38" s="220"/>
      <c r="C38" s="186" t="s">
        <v>117</v>
      </c>
    </row>
    <row r="39" spans="1:3" ht="17.25" customHeight="1" x14ac:dyDescent="0.25">
      <c r="A39" s="196" t="s">
        <v>115</v>
      </c>
      <c r="B39" s="221"/>
      <c r="C39" s="186" t="s">
        <v>117</v>
      </c>
    </row>
    <row r="40" spans="1:3" ht="25.5" customHeight="1" x14ac:dyDescent="0.25">
      <c r="A40" s="193" t="s">
        <v>313</v>
      </c>
      <c r="B40" s="222" t="s">
        <v>119</v>
      </c>
      <c r="C40" s="156" t="s">
        <v>120</v>
      </c>
    </row>
    <row r="41" spans="1:3" ht="39.6" x14ac:dyDescent="0.25">
      <c r="A41" s="193" t="s">
        <v>314</v>
      </c>
      <c r="B41" s="223"/>
      <c r="C41" s="156" t="s">
        <v>120</v>
      </c>
    </row>
    <row r="42" spans="1:3" x14ac:dyDescent="0.25">
      <c r="A42" s="194" t="s">
        <v>122</v>
      </c>
      <c r="B42" s="13"/>
      <c r="C42" s="7"/>
    </row>
    <row r="43" spans="1:3" ht="26.4" x14ac:dyDescent="0.25">
      <c r="A43" s="198" t="s">
        <v>123</v>
      </c>
      <c r="B43" s="222" t="s">
        <v>133</v>
      </c>
      <c r="C43" s="7" t="s">
        <v>117</v>
      </c>
    </row>
    <row r="44" spans="1:3" ht="26.4" x14ac:dyDescent="0.25">
      <c r="A44" s="198" t="s">
        <v>124</v>
      </c>
      <c r="B44" s="224"/>
      <c r="C44" s="7" t="s">
        <v>117</v>
      </c>
    </row>
    <row r="45" spans="1:3" ht="26.4" x14ac:dyDescent="0.25">
      <c r="A45" s="198" t="s">
        <v>131</v>
      </c>
      <c r="B45" s="224"/>
      <c r="C45" s="7" t="s">
        <v>117</v>
      </c>
    </row>
    <row r="46" spans="1:3" ht="26.4" x14ac:dyDescent="0.25">
      <c r="A46" s="198" t="s">
        <v>132</v>
      </c>
      <c r="B46" s="224"/>
      <c r="C46" s="7" t="s">
        <v>117</v>
      </c>
    </row>
    <row r="47" spans="1:3" ht="26.4" x14ac:dyDescent="0.25">
      <c r="A47" s="193" t="s">
        <v>125</v>
      </c>
      <c r="B47" s="224"/>
      <c r="C47" s="7" t="s">
        <v>117</v>
      </c>
    </row>
    <row r="48" spans="1:3" ht="26.4" x14ac:dyDescent="0.25">
      <c r="A48" s="198" t="s">
        <v>129</v>
      </c>
      <c r="B48" s="224"/>
      <c r="C48" s="7" t="s">
        <v>117</v>
      </c>
    </row>
    <row r="49" spans="1:3" ht="26.4" x14ac:dyDescent="0.25">
      <c r="A49" s="198" t="s">
        <v>130</v>
      </c>
      <c r="B49" s="224"/>
      <c r="C49" s="7" t="s">
        <v>117</v>
      </c>
    </row>
    <row r="50" spans="1:3" ht="26.4" x14ac:dyDescent="0.25">
      <c r="A50" s="198" t="s">
        <v>126</v>
      </c>
      <c r="B50" s="224"/>
      <c r="C50" s="7" t="s">
        <v>117</v>
      </c>
    </row>
    <row r="51" spans="1:3" ht="26.4" x14ac:dyDescent="0.25">
      <c r="A51" s="193" t="s">
        <v>127</v>
      </c>
      <c r="B51" s="224"/>
      <c r="C51" s="7" t="s">
        <v>117</v>
      </c>
    </row>
    <row r="52" spans="1:3" ht="26.4" x14ac:dyDescent="0.25">
      <c r="A52" s="198" t="s">
        <v>128</v>
      </c>
      <c r="B52" s="225"/>
      <c r="C52" s="7" t="s">
        <v>117</v>
      </c>
    </row>
    <row r="53" spans="1:3" x14ac:dyDescent="0.25">
      <c r="A53" s="194" t="s">
        <v>134</v>
      </c>
      <c r="B53" s="13"/>
      <c r="C53" s="7"/>
    </row>
    <row r="54" spans="1:3" x14ac:dyDescent="0.25">
      <c r="A54" s="194" t="s">
        <v>135</v>
      </c>
      <c r="B54" s="13"/>
      <c r="C54" s="7"/>
    </row>
    <row r="55" spans="1:3" x14ac:dyDescent="0.25">
      <c r="A55" s="194" t="s">
        <v>136</v>
      </c>
      <c r="B55" s="13"/>
      <c r="C55" s="7"/>
    </row>
    <row r="56" spans="1:3" x14ac:dyDescent="0.25">
      <c r="A56" s="197" t="s">
        <v>62</v>
      </c>
      <c r="B56" s="11"/>
      <c r="C56" s="12"/>
    </row>
    <row r="57" spans="1:3" x14ac:dyDescent="0.25">
      <c r="A57" s="194" t="s">
        <v>63</v>
      </c>
      <c r="B57" s="5"/>
      <c r="C57" s="2"/>
    </row>
    <row r="58" spans="1:3" x14ac:dyDescent="0.25">
      <c r="A58" s="194" t="s">
        <v>138</v>
      </c>
      <c r="B58" s="5"/>
      <c r="C58" s="2"/>
    </row>
    <row r="59" spans="1:3" ht="52.8" x14ac:dyDescent="0.25">
      <c r="A59" s="192" t="s">
        <v>363</v>
      </c>
      <c r="B59" s="142" t="s">
        <v>370</v>
      </c>
      <c r="C59" s="158" t="s">
        <v>371</v>
      </c>
    </row>
    <row r="60" spans="1:3" x14ac:dyDescent="0.25">
      <c r="A60" s="192" t="s">
        <v>364</v>
      </c>
      <c r="B60" s="216" t="s">
        <v>145</v>
      </c>
      <c r="C60" s="159" t="s">
        <v>372</v>
      </c>
    </row>
    <row r="61" spans="1:3" x14ac:dyDescent="0.25">
      <c r="A61" s="192" t="s">
        <v>139</v>
      </c>
      <c r="B61" s="217"/>
      <c r="C61" s="159" t="s">
        <v>142</v>
      </c>
    </row>
    <row r="62" spans="1:3" ht="52.8" x14ac:dyDescent="0.25">
      <c r="A62" s="192" t="s">
        <v>365</v>
      </c>
      <c r="B62" s="142" t="s">
        <v>370</v>
      </c>
      <c r="C62" s="158" t="s">
        <v>373</v>
      </c>
    </row>
    <row r="63" spans="1:3" ht="26.4" x14ac:dyDescent="0.25">
      <c r="A63" s="192" t="s">
        <v>366</v>
      </c>
      <c r="B63" s="216" t="s">
        <v>143</v>
      </c>
      <c r="C63" s="159" t="s">
        <v>374</v>
      </c>
    </row>
    <row r="64" spans="1:3" ht="26.4" x14ac:dyDescent="0.25">
      <c r="A64" s="192" t="s">
        <v>140</v>
      </c>
      <c r="B64" s="217"/>
      <c r="C64" s="159" t="s">
        <v>144</v>
      </c>
    </row>
    <row r="65" spans="1:3" ht="52.8" x14ac:dyDescent="0.25">
      <c r="A65" s="192" t="s">
        <v>367</v>
      </c>
      <c r="B65" s="142" t="s">
        <v>370</v>
      </c>
      <c r="C65" s="158" t="s">
        <v>373</v>
      </c>
    </row>
    <row r="66" spans="1:3" ht="25.5" customHeight="1" x14ac:dyDescent="0.25">
      <c r="A66" s="192" t="s">
        <v>368</v>
      </c>
      <c r="B66" s="216" t="s">
        <v>143</v>
      </c>
      <c r="C66" s="159" t="s">
        <v>374</v>
      </c>
    </row>
    <row r="67" spans="1:3" ht="26.4" x14ac:dyDescent="0.25">
      <c r="A67" s="192" t="s">
        <v>141</v>
      </c>
      <c r="B67" s="217"/>
      <c r="C67" s="159" t="s">
        <v>144</v>
      </c>
    </row>
    <row r="68" spans="1:3" ht="39.6" x14ac:dyDescent="0.25">
      <c r="A68" s="193" t="s">
        <v>369</v>
      </c>
      <c r="B68" s="160" t="s">
        <v>147</v>
      </c>
      <c r="C68" s="158" t="s">
        <v>375</v>
      </c>
    </row>
    <row r="69" spans="1:3" ht="39.6" x14ac:dyDescent="0.25">
      <c r="A69" s="193" t="s">
        <v>283</v>
      </c>
      <c r="B69" s="160" t="s">
        <v>148</v>
      </c>
      <c r="C69" s="158" t="s">
        <v>284</v>
      </c>
    </row>
    <row r="70" spans="1:3" x14ac:dyDescent="0.25">
      <c r="A70" s="194" t="s">
        <v>149</v>
      </c>
      <c r="B70" s="5"/>
      <c r="C70" s="2"/>
    </row>
    <row r="71" spans="1:3" ht="39.6" x14ac:dyDescent="0.25">
      <c r="A71" s="193" t="s">
        <v>376</v>
      </c>
      <c r="B71" s="160" t="s">
        <v>152</v>
      </c>
      <c r="C71" s="158" t="s">
        <v>378</v>
      </c>
    </row>
    <row r="72" spans="1:3" ht="39.6" x14ac:dyDescent="0.25">
      <c r="A72" s="193" t="s">
        <v>377</v>
      </c>
      <c r="B72" s="160" t="s">
        <v>152</v>
      </c>
      <c r="C72" s="158" t="s">
        <v>379</v>
      </c>
    </row>
    <row r="73" spans="1:3" x14ac:dyDescent="0.25">
      <c r="A73" s="194" t="s">
        <v>151</v>
      </c>
      <c r="B73" s="13"/>
      <c r="C73" s="7"/>
    </row>
    <row r="74" spans="1:3" ht="26.4" x14ac:dyDescent="0.25">
      <c r="A74" s="198" t="s">
        <v>380</v>
      </c>
      <c r="B74" s="160" t="s">
        <v>153</v>
      </c>
      <c r="C74" s="158" t="s">
        <v>383</v>
      </c>
    </row>
    <row r="75" spans="1:3" ht="26.4" x14ac:dyDescent="0.25">
      <c r="A75" s="198" t="s">
        <v>381</v>
      </c>
      <c r="B75" s="160" t="s">
        <v>153</v>
      </c>
      <c r="C75" s="158" t="s">
        <v>383</v>
      </c>
    </row>
    <row r="76" spans="1:3" ht="26.4" x14ac:dyDescent="0.25">
      <c r="A76" s="198" t="s">
        <v>382</v>
      </c>
      <c r="B76" s="160" t="s">
        <v>153</v>
      </c>
      <c r="C76" s="158" t="s">
        <v>383</v>
      </c>
    </row>
    <row r="77" spans="1:3" ht="26.4" x14ac:dyDescent="0.25">
      <c r="A77" s="194" t="s">
        <v>157</v>
      </c>
      <c r="B77" s="13"/>
      <c r="C77" s="7"/>
    </row>
    <row r="78" spans="1:3" x14ac:dyDescent="0.25">
      <c r="A78" s="194" t="s">
        <v>158</v>
      </c>
      <c r="B78" s="13"/>
      <c r="C78" s="7"/>
    </row>
    <row r="79" spans="1:3" ht="39.6" x14ac:dyDescent="0.25">
      <c r="A79" s="198" t="s">
        <v>286</v>
      </c>
      <c r="B79" s="160" t="s">
        <v>161</v>
      </c>
      <c r="C79" s="158" t="s">
        <v>285</v>
      </c>
    </row>
    <row r="80" spans="1:3" ht="39.6" x14ac:dyDescent="0.25">
      <c r="A80" s="198" t="s">
        <v>287</v>
      </c>
      <c r="B80" s="160" t="s">
        <v>162</v>
      </c>
      <c r="C80" s="158" t="s">
        <v>285</v>
      </c>
    </row>
    <row r="81" spans="1:3" ht="39.6" x14ac:dyDescent="0.25">
      <c r="A81" s="198" t="s">
        <v>288</v>
      </c>
      <c r="B81" s="160" t="s">
        <v>163</v>
      </c>
      <c r="C81" s="158" t="s">
        <v>285</v>
      </c>
    </row>
    <row r="82" spans="1:3" x14ac:dyDescent="0.25">
      <c r="A82" s="194" t="s">
        <v>159</v>
      </c>
      <c r="B82" s="13"/>
      <c r="C82" s="7"/>
    </row>
    <row r="83" spans="1:3" ht="39.6" x14ac:dyDescent="0.25">
      <c r="A83" s="198" t="s">
        <v>384</v>
      </c>
      <c r="B83" s="160" t="s">
        <v>165</v>
      </c>
      <c r="C83" s="158" t="s">
        <v>386</v>
      </c>
    </row>
    <row r="84" spans="1:3" ht="39.6" x14ac:dyDescent="0.25">
      <c r="A84" s="193" t="s">
        <v>385</v>
      </c>
      <c r="B84" s="160" t="s">
        <v>166</v>
      </c>
      <c r="C84" s="158" t="s">
        <v>386</v>
      </c>
    </row>
    <row r="85" spans="1:3" x14ac:dyDescent="0.25">
      <c r="A85" s="194" t="s">
        <v>160</v>
      </c>
      <c r="B85" s="13"/>
      <c r="C85" s="7"/>
    </row>
    <row r="86" spans="1:3" ht="39.6" x14ac:dyDescent="0.25">
      <c r="A86" s="198" t="s">
        <v>289</v>
      </c>
      <c r="B86" s="160" t="s">
        <v>164</v>
      </c>
      <c r="C86" s="158" t="s">
        <v>292</v>
      </c>
    </row>
    <row r="87" spans="1:3" ht="39.6" x14ac:dyDescent="0.25">
      <c r="A87" s="198" t="s">
        <v>290</v>
      </c>
      <c r="B87" s="160" t="s">
        <v>167</v>
      </c>
      <c r="C87" s="158" t="s">
        <v>292</v>
      </c>
    </row>
    <row r="88" spans="1:3" ht="39.6" x14ac:dyDescent="0.25">
      <c r="A88" s="198" t="s">
        <v>291</v>
      </c>
      <c r="B88" s="160" t="s">
        <v>168</v>
      </c>
      <c r="C88" s="158" t="s">
        <v>292</v>
      </c>
    </row>
    <row r="89" spans="1:3" x14ac:dyDescent="0.25">
      <c r="A89" s="197" t="s">
        <v>64</v>
      </c>
      <c r="B89" s="9"/>
      <c r="C89" s="10"/>
    </row>
    <row r="90" spans="1:3" x14ac:dyDescent="0.25">
      <c r="A90" s="194" t="s">
        <v>65</v>
      </c>
      <c r="B90" s="4"/>
      <c r="C90" s="1"/>
    </row>
    <row r="91" spans="1:3" x14ac:dyDescent="0.25">
      <c r="A91" s="194" t="s">
        <v>177</v>
      </c>
      <c r="B91" s="5"/>
      <c r="C91" s="2"/>
    </row>
    <row r="92" spans="1:3" x14ac:dyDescent="0.25">
      <c r="A92" s="194" t="s">
        <v>178</v>
      </c>
      <c r="B92" s="5"/>
      <c r="C92" s="2"/>
    </row>
    <row r="93" spans="1:3" ht="250.8" x14ac:dyDescent="0.25">
      <c r="A93" s="196" t="s">
        <v>275</v>
      </c>
      <c r="B93" s="175" t="s">
        <v>293</v>
      </c>
      <c r="C93" s="174" t="s">
        <v>213</v>
      </c>
    </row>
    <row r="94" spans="1:3" x14ac:dyDescent="0.25">
      <c r="A94" s="194" t="s">
        <v>169</v>
      </c>
      <c r="B94" s="5"/>
      <c r="C94" s="2"/>
    </row>
    <row r="95" spans="1:3" ht="39.6" x14ac:dyDescent="0.25">
      <c r="A95" s="198" t="s">
        <v>170</v>
      </c>
      <c r="B95" s="160" t="s">
        <v>179</v>
      </c>
      <c r="C95" s="158" t="s">
        <v>294</v>
      </c>
    </row>
    <row r="96" spans="1:3" x14ac:dyDescent="0.25">
      <c r="A96" s="194" t="s">
        <v>175</v>
      </c>
      <c r="B96" s="5"/>
      <c r="C96" s="2"/>
    </row>
    <row r="97" spans="1:3" ht="39.6" x14ac:dyDescent="0.25">
      <c r="A97" s="192" t="s">
        <v>174</v>
      </c>
      <c r="B97" s="160" t="s">
        <v>392</v>
      </c>
      <c r="C97" s="158" t="s">
        <v>295</v>
      </c>
    </row>
    <row r="98" spans="1:3" x14ac:dyDescent="0.25">
      <c r="A98" s="194" t="s">
        <v>180</v>
      </c>
      <c r="B98" s="13"/>
      <c r="C98" s="7"/>
    </row>
    <row r="99" spans="1:3" ht="26.4" x14ac:dyDescent="0.25">
      <c r="A99" s="194" t="s">
        <v>187</v>
      </c>
      <c r="B99" s="13"/>
      <c r="C99" s="7"/>
    </row>
    <row r="100" spans="1:3" ht="26.4" x14ac:dyDescent="0.25">
      <c r="A100" s="198" t="s">
        <v>182</v>
      </c>
      <c r="B100" s="160" t="s">
        <v>185</v>
      </c>
      <c r="C100" s="166" t="s">
        <v>183</v>
      </c>
    </row>
    <row r="101" spans="1:3" ht="26.4" x14ac:dyDescent="0.25">
      <c r="A101" s="198" t="s">
        <v>188</v>
      </c>
      <c r="B101" s="160" t="s">
        <v>184</v>
      </c>
      <c r="C101" s="166" t="s">
        <v>183</v>
      </c>
    </row>
    <row r="102" spans="1:3" ht="39.6" x14ac:dyDescent="0.25">
      <c r="A102" s="198" t="s">
        <v>189</v>
      </c>
      <c r="B102" s="160" t="s">
        <v>186</v>
      </c>
      <c r="C102" s="166" t="s">
        <v>183</v>
      </c>
    </row>
    <row r="103" spans="1:3" x14ac:dyDescent="0.25">
      <c r="A103" s="194" t="s">
        <v>190</v>
      </c>
      <c r="B103" s="13"/>
      <c r="C103" s="7"/>
    </row>
    <row r="104" spans="1:3" x14ac:dyDescent="0.25">
      <c r="A104" s="194" t="s">
        <v>191</v>
      </c>
      <c r="B104" s="26"/>
      <c r="C104" s="25"/>
    </row>
    <row r="105" spans="1:3" ht="52.8" x14ac:dyDescent="0.25">
      <c r="A105" s="199" t="s">
        <v>296</v>
      </c>
      <c r="B105" s="169" t="s">
        <v>300</v>
      </c>
      <c r="C105" s="166" t="s">
        <v>311</v>
      </c>
    </row>
    <row r="106" spans="1:3" ht="26.4" x14ac:dyDescent="0.25">
      <c r="A106" s="199" t="s">
        <v>297</v>
      </c>
      <c r="B106" s="169" t="s">
        <v>302</v>
      </c>
      <c r="C106" s="166" t="s">
        <v>301</v>
      </c>
    </row>
    <row r="107" spans="1:3" ht="26.4" x14ac:dyDescent="0.25">
      <c r="A107" s="199" t="s">
        <v>298</v>
      </c>
      <c r="B107" s="169" t="s">
        <v>303</v>
      </c>
      <c r="C107" s="166" t="s">
        <v>198</v>
      </c>
    </row>
    <row r="108" spans="1:3" ht="39.6" x14ac:dyDescent="0.25">
      <c r="A108" s="199" t="s">
        <v>299</v>
      </c>
      <c r="B108" s="169" t="s">
        <v>203</v>
      </c>
      <c r="C108" s="166" t="s">
        <v>312</v>
      </c>
    </row>
    <row r="109" spans="1:3" ht="39.6" x14ac:dyDescent="0.25">
      <c r="A109" s="199" t="s">
        <v>306</v>
      </c>
      <c r="B109" s="171" t="s">
        <v>201</v>
      </c>
      <c r="C109" s="166" t="s">
        <v>200</v>
      </c>
    </row>
    <row r="110" spans="1:3" ht="39.6" x14ac:dyDescent="0.25">
      <c r="A110" s="196" t="s">
        <v>307</v>
      </c>
      <c r="B110" s="169" t="s">
        <v>202</v>
      </c>
      <c r="C110" s="166" t="s">
        <v>304</v>
      </c>
    </row>
    <row r="111" spans="1:3" ht="39.6" x14ac:dyDescent="0.25">
      <c r="A111" s="196" t="s">
        <v>261</v>
      </c>
      <c r="B111" s="171" t="s">
        <v>308</v>
      </c>
      <c r="C111" s="166" t="s">
        <v>312</v>
      </c>
    </row>
    <row r="112" spans="1:3" ht="39.6" x14ac:dyDescent="0.25">
      <c r="A112" s="196" t="s">
        <v>309</v>
      </c>
      <c r="B112" s="169" t="s">
        <v>199</v>
      </c>
      <c r="C112" s="166" t="s">
        <v>200</v>
      </c>
    </row>
    <row r="113" spans="1:3" ht="39.6" x14ac:dyDescent="0.25">
      <c r="A113" s="196" t="s">
        <v>310</v>
      </c>
      <c r="B113" s="169" t="s">
        <v>197</v>
      </c>
      <c r="C113" s="166" t="s">
        <v>304</v>
      </c>
    </row>
    <row r="114" spans="1:3" x14ac:dyDescent="0.25">
      <c r="A114" s="194" t="s">
        <v>194</v>
      </c>
      <c r="B114" s="26"/>
      <c r="C114" s="25"/>
    </row>
    <row r="115" spans="1:3" ht="26.4" x14ac:dyDescent="0.25">
      <c r="A115" s="198" t="s">
        <v>195</v>
      </c>
      <c r="B115" s="172" t="s">
        <v>204</v>
      </c>
      <c r="C115" s="166" t="s">
        <v>305</v>
      </c>
    </row>
    <row r="116" spans="1:3" ht="13.8" thickBot="1" x14ac:dyDescent="0.3">
      <c r="A116" s="200" t="s">
        <v>66</v>
      </c>
      <c r="B116" s="28"/>
      <c r="C116" s="29"/>
    </row>
    <row r="117" spans="1:3" x14ac:dyDescent="0.25">
      <c r="A117" s="194" t="s">
        <v>67</v>
      </c>
      <c r="B117" s="6"/>
      <c r="C117" s="3"/>
    </row>
    <row r="118" spans="1:3" ht="12" customHeight="1" x14ac:dyDescent="0.25">
      <c r="A118" s="193" t="s">
        <v>205</v>
      </c>
      <c r="B118" s="6"/>
      <c r="C118" s="3"/>
    </row>
    <row r="119" spans="1:3" ht="158.25" customHeight="1" x14ac:dyDescent="0.25">
      <c r="A119" s="196" t="s">
        <v>206</v>
      </c>
      <c r="B119" s="177" t="s">
        <v>215</v>
      </c>
      <c r="C119" s="174" t="s">
        <v>317</v>
      </c>
    </row>
    <row r="120" spans="1:3" ht="207.75" customHeight="1" x14ac:dyDescent="0.25">
      <c r="A120" s="196" t="s">
        <v>207</v>
      </c>
      <c r="B120" s="177" t="s">
        <v>216</v>
      </c>
      <c r="C120" s="174" t="s">
        <v>387</v>
      </c>
    </row>
    <row r="121" spans="1:3" ht="50.25" customHeight="1" x14ac:dyDescent="0.25">
      <c r="A121" s="193" t="s">
        <v>208</v>
      </c>
      <c r="B121" s="177" t="s">
        <v>220</v>
      </c>
      <c r="C121" s="166" t="s">
        <v>221</v>
      </c>
    </row>
    <row r="122" spans="1:3" ht="48.75" customHeight="1" x14ac:dyDescent="0.25">
      <c r="A122" s="193" t="s">
        <v>209</v>
      </c>
      <c r="B122" s="177" t="s">
        <v>222</v>
      </c>
      <c r="C122" s="166" t="s">
        <v>318</v>
      </c>
    </row>
    <row r="123" spans="1:3" ht="157.5" customHeight="1" x14ac:dyDescent="0.25">
      <c r="A123" s="196" t="s">
        <v>210</v>
      </c>
      <c r="B123" s="177" t="s">
        <v>223</v>
      </c>
      <c r="C123" s="174" t="s">
        <v>262</v>
      </c>
    </row>
    <row r="124" spans="1:3" ht="117" customHeight="1" x14ac:dyDescent="0.25">
      <c r="A124" s="196" t="s">
        <v>211</v>
      </c>
      <c r="B124" s="177" t="s">
        <v>228</v>
      </c>
      <c r="C124" s="174" t="s">
        <v>229</v>
      </c>
    </row>
    <row r="125" spans="1:3" ht="141" customHeight="1" x14ac:dyDescent="0.25">
      <c r="A125" s="196" t="s">
        <v>230</v>
      </c>
      <c r="B125" s="177" t="s">
        <v>264</v>
      </c>
      <c r="C125" s="174" t="s">
        <v>265</v>
      </c>
    </row>
    <row r="126" spans="1:3" ht="115.5" customHeight="1" x14ac:dyDescent="0.25">
      <c r="A126" s="196" t="s">
        <v>231</v>
      </c>
      <c r="B126" s="177" t="s">
        <v>240</v>
      </c>
      <c r="C126" s="174" t="s">
        <v>266</v>
      </c>
    </row>
    <row r="127" spans="1:3" ht="66.75" customHeight="1" x14ac:dyDescent="0.25">
      <c r="A127" s="196" t="s">
        <v>232</v>
      </c>
      <c r="B127" s="177" t="s">
        <v>242</v>
      </c>
      <c r="C127" s="174" t="s">
        <v>267</v>
      </c>
    </row>
    <row r="128" spans="1:3" ht="169.5" customHeight="1" x14ac:dyDescent="0.25">
      <c r="A128" s="196" t="s">
        <v>233</v>
      </c>
      <c r="B128" s="177" t="s">
        <v>244</v>
      </c>
      <c r="C128" s="174" t="s">
        <v>268</v>
      </c>
    </row>
    <row r="129" spans="1:3" ht="180" customHeight="1" x14ac:dyDescent="0.25">
      <c r="A129" s="196" t="s">
        <v>234</v>
      </c>
      <c r="B129" s="177" t="s">
        <v>246</v>
      </c>
      <c r="C129" s="174" t="s">
        <v>388</v>
      </c>
    </row>
    <row r="130" spans="1:3" ht="137.25" customHeight="1" x14ac:dyDescent="0.25">
      <c r="A130" s="196" t="s">
        <v>391</v>
      </c>
      <c r="B130" s="177" t="s">
        <v>248</v>
      </c>
      <c r="C130" s="174" t="s">
        <v>389</v>
      </c>
    </row>
    <row r="131" spans="1:3" ht="273.75" customHeight="1" x14ac:dyDescent="0.25">
      <c r="A131" s="196" t="s">
        <v>236</v>
      </c>
      <c r="B131" s="177" t="s">
        <v>250</v>
      </c>
      <c r="C131" s="174" t="s">
        <v>269</v>
      </c>
    </row>
    <row r="132" spans="1:3" ht="141.75" customHeight="1" x14ac:dyDescent="0.25">
      <c r="A132" s="196" t="s">
        <v>237</v>
      </c>
      <c r="B132" s="177" t="s">
        <v>252</v>
      </c>
      <c r="C132" s="174" t="s">
        <v>253</v>
      </c>
    </row>
    <row r="133" spans="1:3" ht="93.75" customHeight="1" x14ac:dyDescent="0.25">
      <c r="A133" s="196" t="s">
        <v>254</v>
      </c>
      <c r="B133" s="177" t="s">
        <v>257</v>
      </c>
      <c r="C133" s="174" t="s">
        <v>258</v>
      </c>
    </row>
    <row r="134" spans="1:3" ht="102" customHeight="1" x14ac:dyDescent="0.25">
      <c r="A134" s="196" t="s">
        <v>255</v>
      </c>
      <c r="B134" s="177" t="s">
        <v>259</v>
      </c>
      <c r="C134" s="174" t="s">
        <v>270</v>
      </c>
    </row>
    <row r="135" spans="1:3" ht="189.75" customHeight="1" x14ac:dyDescent="0.25">
      <c r="A135" s="196" t="s">
        <v>256</v>
      </c>
      <c r="B135" s="177" t="s">
        <v>260</v>
      </c>
      <c r="C135" s="174" t="s">
        <v>319</v>
      </c>
    </row>
    <row r="136" spans="1:3" ht="24.75" customHeight="1" x14ac:dyDescent="0.25">
      <c r="A136" s="145" t="s">
        <v>321</v>
      </c>
      <c r="B136" s="177"/>
      <c r="C136" s="191"/>
    </row>
    <row r="137" spans="1:3" ht="141" customHeight="1" x14ac:dyDescent="0.25">
      <c r="A137" s="145" t="s">
        <v>322</v>
      </c>
      <c r="B137" s="177" t="s">
        <v>329</v>
      </c>
      <c r="C137" s="174" t="s">
        <v>330</v>
      </c>
    </row>
    <row r="138" spans="1:3" ht="208.5" customHeight="1" x14ac:dyDescent="0.25">
      <c r="A138" s="145" t="s">
        <v>323</v>
      </c>
      <c r="B138" s="177" t="s">
        <v>331</v>
      </c>
      <c r="C138" s="174" t="s">
        <v>332</v>
      </c>
    </row>
    <row r="139" spans="1:3" ht="44.25" customHeight="1" x14ac:dyDescent="0.25">
      <c r="A139" s="145" t="s">
        <v>324</v>
      </c>
      <c r="B139" s="177"/>
      <c r="C139" s="191"/>
    </row>
    <row r="140" spans="1:3" ht="44.25" customHeight="1" x14ac:dyDescent="0.25">
      <c r="A140" s="145" t="s">
        <v>325</v>
      </c>
      <c r="B140" s="177" t="s">
        <v>337</v>
      </c>
      <c r="C140" s="191" t="s">
        <v>333</v>
      </c>
    </row>
    <row r="141" spans="1:3" ht="44.25" customHeight="1" x14ac:dyDescent="0.25">
      <c r="A141" s="145" t="s">
        <v>326</v>
      </c>
      <c r="B141" s="177" t="s">
        <v>337</v>
      </c>
      <c r="C141" s="191" t="s">
        <v>334</v>
      </c>
    </row>
    <row r="142" spans="1:3" ht="44.25" customHeight="1" x14ac:dyDescent="0.25">
      <c r="A142" s="145" t="s">
        <v>327</v>
      </c>
      <c r="B142" s="177" t="s">
        <v>338</v>
      </c>
      <c r="C142" s="191" t="s">
        <v>335</v>
      </c>
    </row>
    <row r="143" spans="1:3" ht="44.25" customHeight="1" x14ac:dyDescent="0.25">
      <c r="A143" s="145" t="s">
        <v>328</v>
      </c>
      <c r="B143" s="177" t="s">
        <v>339</v>
      </c>
      <c r="C143" s="191" t="s">
        <v>336</v>
      </c>
    </row>
    <row r="144" spans="1:3" ht="13.8" thickBot="1" x14ac:dyDescent="0.3">
      <c r="A144" s="24" t="s">
        <v>68</v>
      </c>
      <c r="B144" s="11"/>
      <c r="C144" s="12"/>
    </row>
    <row r="145" spans="1:3" ht="27" thickBot="1" x14ac:dyDescent="0.3">
      <c r="A145" s="71" t="s">
        <v>69</v>
      </c>
      <c r="B145" s="68"/>
      <c r="C145" s="67"/>
    </row>
  </sheetData>
  <mergeCells count="7">
    <mergeCell ref="B60:B61"/>
    <mergeCell ref="B63:B64"/>
    <mergeCell ref="B66:B67"/>
    <mergeCell ref="B1:C1"/>
    <mergeCell ref="B37:B39"/>
    <mergeCell ref="B40:B41"/>
    <mergeCell ref="B43:B52"/>
  </mergeCells>
  <phoneticPr fontId="7" type="noConversion"/>
  <pageMargins left="0.51181102362204722" right="0.35433070866141736" top="0.43307086614173229" bottom="0.35433070866141736" header="0.39370078740157483" footer="0.31496062992125984"/>
  <pageSetup paperSize="9" fitToWidth="2" orientation="landscape" r:id="rId1"/>
  <headerFooter>
    <oddFooter>&amp;LEuropeAid/162922/DD/ACT/Multi</oddFooter>
  </headerFooter>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0"/>
  <sheetViews>
    <sheetView tabSelected="1" showWhiteSpace="0" view="pageLayout" zoomScaleNormal="100" workbookViewId="0">
      <selection activeCell="A13" sqref="A13"/>
    </sheetView>
  </sheetViews>
  <sheetFormatPr baseColWidth="10" defaultColWidth="9.109375" defaultRowHeight="14.4" x14ac:dyDescent="0.3"/>
  <cols>
    <col min="1" max="1" width="25.33203125" style="59" customWidth="1"/>
    <col min="2" max="2" width="37.88671875" style="59" customWidth="1"/>
    <col min="3" max="3" width="17.6640625" style="59" customWidth="1"/>
    <col min="4" max="4" width="12.33203125" style="59" customWidth="1"/>
    <col min="5" max="16384" width="9.109375" style="59"/>
  </cols>
  <sheetData>
    <row r="1" spans="1:5" ht="17.399999999999999" x14ac:dyDescent="0.3">
      <c r="A1" s="73" t="s">
        <v>70</v>
      </c>
      <c r="B1" s="74"/>
      <c r="C1" s="74"/>
      <c r="D1" s="74"/>
      <c r="E1" s="58"/>
    </row>
    <row r="2" spans="1:5" ht="15" thickBot="1" x14ac:dyDescent="0.35">
      <c r="A2" s="75"/>
      <c r="B2" s="74"/>
      <c r="C2" s="74"/>
      <c r="D2" s="74"/>
      <c r="E2" s="58"/>
    </row>
    <row r="3" spans="1:5" x14ac:dyDescent="0.3">
      <c r="A3" s="76"/>
      <c r="B3" s="77"/>
      <c r="C3" s="78" t="s">
        <v>71</v>
      </c>
      <c r="D3" s="79" t="s">
        <v>72</v>
      </c>
      <c r="E3" s="58"/>
    </row>
    <row r="4" spans="1:5" ht="45.75" customHeight="1" thickBot="1" x14ac:dyDescent="0.35">
      <c r="A4" s="80"/>
      <c r="B4" s="81"/>
      <c r="C4" s="82" t="s">
        <v>73</v>
      </c>
      <c r="D4" s="83" t="s">
        <v>74</v>
      </c>
      <c r="E4" s="58"/>
    </row>
    <row r="5" spans="1:5" ht="15" thickBot="1" x14ac:dyDescent="0.35">
      <c r="A5" s="112" t="s">
        <v>75</v>
      </c>
      <c r="B5" s="111"/>
      <c r="C5" s="86"/>
      <c r="D5" s="87"/>
      <c r="E5" s="61"/>
    </row>
    <row r="6" spans="1:5" x14ac:dyDescent="0.3">
      <c r="A6" s="88"/>
      <c r="B6" s="81"/>
      <c r="C6" s="86"/>
      <c r="D6" s="87"/>
      <c r="E6" s="58"/>
    </row>
    <row r="7" spans="1:5" x14ac:dyDescent="0.3">
      <c r="A7" s="89" t="s">
        <v>76</v>
      </c>
      <c r="B7" s="81"/>
      <c r="C7" s="203">
        <v>300000</v>
      </c>
      <c r="D7" s="87"/>
      <c r="E7" s="58"/>
    </row>
    <row r="8" spans="1:5" x14ac:dyDescent="0.3">
      <c r="A8" s="88"/>
      <c r="B8" s="81"/>
      <c r="C8" s="86"/>
      <c r="D8" s="87"/>
      <c r="E8" s="58"/>
    </row>
    <row r="9" spans="1:5" x14ac:dyDescent="0.3">
      <c r="A9" s="88" t="s">
        <v>77</v>
      </c>
      <c r="B9" s="91"/>
      <c r="C9" s="86"/>
      <c r="D9" s="87"/>
      <c r="E9" s="60"/>
    </row>
    <row r="10" spans="1:5" ht="15" x14ac:dyDescent="0.3">
      <c r="A10" s="92" t="s">
        <v>78</v>
      </c>
      <c r="B10" s="113" t="s">
        <v>79</v>
      </c>
      <c r="C10" s="86"/>
      <c r="D10" s="87"/>
      <c r="E10" s="60"/>
    </row>
    <row r="11" spans="1:5" x14ac:dyDescent="0.3">
      <c r="A11" s="93" t="s">
        <v>394</v>
      </c>
      <c r="B11" s="94"/>
      <c r="C11" s="203">
        <v>33333</v>
      </c>
      <c r="D11" s="87"/>
      <c r="E11" s="60"/>
    </row>
    <row r="12" spans="1:5" x14ac:dyDescent="0.3">
      <c r="A12" s="95"/>
      <c r="B12" s="94"/>
      <c r="C12" s="90"/>
      <c r="D12" s="87"/>
      <c r="E12" s="60"/>
    </row>
    <row r="13" spans="1:5" x14ac:dyDescent="0.3">
      <c r="A13" s="88"/>
      <c r="B13" s="81"/>
      <c r="C13" s="86"/>
      <c r="D13" s="87"/>
      <c r="E13" s="60"/>
    </row>
    <row r="14" spans="1:5" x14ac:dyDescent="0.3">
      <c r="A14" s="88"/>
      <c r="B14" s="81"/>
      <c r="C14" s="86"/>
      <c r="D14" s="87"/>
      <c r="E14" s="60"/>
    </row>
    <row r="15" spans="1:5" x14ac:dyDescent="0.3">
      <c r="A15" s="88" t="s">
        <v>80</v>
      </c>
      <c r="B15" s="81"/>
      <c r="C15" s="90"/>
      <c r="D15" s="87"/>
      <c r="E15" s="60"/>
    </row>
    <row r="16" spans="1:5" x14ac:dyDescent="0.3">
      <c r="A16" s="88"/>
      <c r="B16" s="81"/>
      <c r="C16" s="86"/>
      <c r="D16" s="87"/>
      <c r="E16" s="61"/>
    </row>
    <row r="17" spans="1:5" x14ac:dyDescent="0.3">
      <c r="A17" s="96" t="s">
        <v>81</v>
      </c>
      <c r="B17" s="97"/>
      <c r="C17" s="86"/>
      <c r="D17" s="87"/>
      <c r="E17" s="60"/>
    </row>
    <row r="18" spans="1:5" ht="15" x14ac:dyDescent="0.3">
      <c r="A18" s="98" t="s">
        <v>82</v>
      </c>
      <c r="B18" s="99"/>
      <c r="C18" s="90"/>
      <c r="D18" s="87"/>
      <c r="E18" s="60"/>
    </row>
    <row r="19" spans="1:5" ht="15" thickBot="1" x14ac:dyDescent="0.35">
      <c r="A19" s="88"/>
      <c r="B19" s="81"/>
      <c r="C19" s="86"/>
      <c r="D19" s="87"/>
      <c r="E19" s="60"/>
    </row>
    <row r="20" spans="1:5" ht="15" thickBot="1" x14ac:dyDescent="0.35">
      <c r="A20" s="88" t="s">
        <v>83</v>
      </c>
      <c r="B20" s="81"/>
      <c r="C20" s="204">
        <f>C7+C11</f>
        <v>333333</v>
      </c>
      <c r="D20" s="87"/>
      <c r="E20" s="60"/>
    </row>
    <row r="21" spans="1:5" ht="15" thickBot="1" x14ac:dyDescent="0.35">
      <c r="A21" s="88"/>
      <c r="B21" s="81"/>
      <c r="C21" s="86"/>
      <c r="D21" s="87"/>
      <c r="E21" s="60"/>
    </row>
    <row r="22" spans="1:5" ht="15" thickBot="1" x14ac:dyDescent="0.35">
      <c r="A22" s="84" t="s">
        <v>84</v>
      </c>
      <c r="B22" s="85"/>
      <c r="C22" s="86"/>
      <c r="D22" s="87"/>
      <c r="E22" s="60"/>
    </row>
    <row r="23" spans="1:5" ht="15" thickBot="1" x14ac:dyDescent="0.35">
      <c r="A23" s="88"/>
      <c r="B23" s="81"/>
      <c r="C23" s="86"/>
      <c r="D23" s="87"/>
      <c r="E23" s="58"/>
    </row>
    <row r="24" spans="1:5" ht="15.6" thickBot="1" x14ac:dyDescent="0.35">
      <c r="A24" s="88" t="s">
        <v>85</v>
      </c>
      <c r="B24" s="100"/>
      <c r="C24" s="204">
        <f>'1. Budget'!E151</f>
        <v>333333.00275488163</v>
      </c>
      <c r="D24" s="87"/>
      <c r="E24" s="61"/>
    </row>
    <row r="25" spans="1:5" ht="15" thickBot="1" x14ac:dyDescent="0.35">
      <c r="A25" s="110" t="s">
        <v>86</v>
      </c>
      <c r="B25" s="81"/>
      <c r="C25" s="86"/>
      <c r="D25" s="205">
        <f>C7/C24</f>
        <v>0.90000089256270477</v>
      </c>
      <c r="E25" s="60"/>
    </row>
    <row r="26" spans="1:5" ht="15" thickTop="1" x14ac:dyDescent="0.3">
      <c r="A26" s="89"/>
      <c r="B26" s="81"/>
      <c r="C26" s="86"/>
      <c r="D26" s="87"/>
      <c r="E26" s="60"/>
    </row>
    <row r="27" spans="1:5" s="119" customFormat="1" x14ac:dyDescent="0.3">
      <c r="A27" s="114" t="s">
        <v>87</v>
      </c>
      <c r="B27" s="115"/>
      <c r="C27" s="116"/>
      <c r="D27" s="117"/>
      <c r="E27" s="118"/>
    </row>
    <row r="28" spans="1:5" s="119" customFormat="1" ht="15" x14ac:dyDescent="0.3">
      <c r="A28" s="120" t="s">
        <v>88</v>
      </c>
      <c r="B28" s="121"/>
      <c r="C28" s="122"/>
      <c r="D28" s="117"/>
      <c r="E28" s="118"/>
    </row>
    <row r="29" spans="1:5" x14ac:dyDescent="0.3">
      <c r="A29" s="101"/>
      <c r="B29" s="102"/>
      <c r="C29" s="86"/>
      <c r="D29" s="87"/>
      <c r="E29" s="60"/>
    </row>
    <row r="30" spans="1:5" ht="15.6" thickBot="1" x14ac:dyDescent="0.35">
      <c r="A30" s="103" t="s">
        <v>89</v>
      </c>
      <c r="B30" s="102"/>
      <c r="C30" s="206">
        <f>C24</f>
        <v>333333.00275488163</v>
      </c>
      <c r="D30" s="87"/>
      <c r="E30" s="60"/>
    </row>
    <row r="31" spans="1:5" ht="15.6" thickTop="1" thickBot="1" x14ac:dyDescent="0.35">
      <c r="A31" s="109" t="s">
        <v>90</v>
      </c>
      <c r="B31" s="104"/>
      <c r="C31" s="86"/>
      <c r="D31" s="205">
        <f>C7/C30</f>
        <v>0.90000089256270477</v>
      </c>
      <c r="E31" s="60"/>
    </row>
    <row r="32" spans="1:5" ht="15.6" thickTop="1" thickBot="1" x14ac:dyDescent="0.35">
      <c r="A32" s="105"/>
      <c r="B32" s="106"/>
      <c r="C32" s="106"/>
      <c r="D32" s="107"/>
      <c r="E32" s="60"/>
    </row>
    <row r="33" spans="1:4" x14ac:dyDescent="0.3">
      <c r="A33" s="108"/>
      <c r="B33" s="108"/>
      <c r="C33" s="108"/>
      <c r="D33" s="108"/>
    </row>
    <row r="34" spans="1:4" ht="39.75" customHeight="1" x14ac:dyDescent="0.3">
      <c r="A34" s="226" t="s">
        <v>91</v>
      </c>
      <c r="B34" s="227"/>
      <c r="C34" s="227"/>
      <c r="D34" s="227"/>
    </row>
    <row r="35" spans="1:4" x14ac:dyDescent="0.3">
      <c r="A35" s="124" t="s">
        <v>92</v>
      </c>
      <c r="B35" s="124"/>
      <c r="C35" s="124"/>
      <c r="D35" s="124"/>
    </row>
    <row r="36" spans="1:4" x14ac:dyDescent="0.3">
      <c r="A36" s="124" t="s">
        <v>93</v>
      </c>
      <c r="B36" s="124"/>
      <c r="C36" s="124"/>
      <c r="D36" s="124"/>
    </row>
    <row r="37" spans="1:4" x14ac:dyDescent="0.3">
      <c r="A37" s="124" t="s">
        <v>94</v>
      </c>
      <c r="B37" s="124"/>
      <c r="C37" s="124"/>
      <c r="D37" s="124"/>
    </row>
    <row r="38" spans="1:4" x14ac:dyDescent="0.3">
      <c r="A38" s="125" t="s">
        <v>95</v>
      </c>
      <c r="B38" s="125"/>
      <c r="C38" s="125"/>
      <c r="D38" s="125"/>
    </row>
    <row r="39" spans="1:4" x14ac:dyDescent="0.3">
      <c r="A39" s="125" t="s">
        <v>96</v>
      </c>
      <c r="B39" s="125"/>
      <c r="C39" s="125"/>
      <c r="D39" s="125"/>
    </row>
    <row r="40" spans="1:4" x14ac:dyDescent="0.3">
      <c r="A40" s="125"/>
      <c r="B40" s="125"/>
      <c r="C40" s="125"/>
      <c r="D40" s="125"/>
    </row>
  </sheetData>
  <mergeCells count="1">
    <mergeCell ref="A34:D34"/>
  </mergeCells>
  <phoneticPr fontId="8" type="noConversion"/>
  <pageMargins left="0.51181102362204722" right="0.43307086614173229" top="0.74803149606299213" bottom="0.74803149606299213" header="0.31496062992125984" footer="0.31496062992125984"/>
  <pageSetup orientation="portrait" r:id="rId1"/>
  <headerFooter>
    <oddFooter>&amp;LAoût 2018-EuropeAid/162922/DD/ACT/Multi</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283126074CD543AD9E33DE0F961D57" ma:contentTypeVersion="11" ma:contentTypeDescription="Create a new document." ma:contentTypeScope="" ma:versionID="be4bffea63702cef187623aa9b0d2345">
  <xsd:schema xmlns:xsd="http://www.w3.org/2001/XMLSchema" xmlns:xs="http://www.w3.org/2001/XMLSchema" xmlns:p="http://schemas.microsoft.com/office/2006/metadata/properties" xmlns:ns2="08808988-d619-4ced-9f25-64711b260c74" xmlns:ns3="9f090bf4-59be-4b78-8649-8ae79c925bf3" targetNamespace="http://schemas.microsoft.com/office/2006/metadata/properties" ma:root="true" ma:fieldsID="6cfb5adf69ad9d97b991074b61687285" ns2:_="" ns3:_="">
    <xsd:import namespace="08808988-d619-4ced-9f25-64711b260c74"/>
    <xsd:import namespace="9f090bf4-59be-4b78-8649-8ae79c925bf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08988-d619-4ced-9f25-64711b260c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90bf4-59be-4b78-8649-8ae79c925bf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43B7F2-8068-4607-94B6-3758F6410D4C}"/>
</file>

<file path=customXml/itemProps2.xml><?xml version="1.0" encoding="utf-8"?>
<ds:datastoreItem xmlns:ds="http://schemas.openxmlformats.org/officeDocument/2006/customXml" ds:itemID="{1115682A-C5F9-4D8C-8272-172E45BA98FC}"/>
</file>

<file path=customXml/itemProps3.xml><?xml version="1.0" encoding="utf-8"?>
<ds:datastoreItem xmlns:ds="http://schemas.openxmlformats.org/officeDocument/2006/customXml" ds:itemID="{4AA2693F-5E95-452E-8EB0-CF1CC17A2E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1. Budget</vt:lpstr>
      <vt:lpstr>2. Justification</vt:lpstr>
      <vt:lpstr>3.  Sources de fin. attendues</vt:lpstr>
      <vt:lpstr>'1. Budget'!Impression_des_titres</vt:lpstr>
      <vt:lpstr>'2. Justification'!Impression_des_titres</vt:lpstr>
      <vt:lpstr>'1. Budget'!Zone_d_impression</vt:lpstr>
      <vt:lpstr>'3.  Sources de fin. attendues'!Zone_d_impression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gwen de jacquelot</cp:lastModifiedBy>
  <cp:lastPrinted>2014-03-13T15:12:25Z</cp:lastPrinted>
  <dcterms:created xsi:type="dcterms:W3CDTF">2000-04-10T10:46:44Z</dcterms:created>
  <dcterms:modified xsi:type="dcterms:W3CDTF">2019-08-03T22:47:28Z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0x0101000B283126074CD543AD9E33DE0F961D57</vt:lpwstr>
  </property>
</Properties>
</file>